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E.81 TA 2021\E.81 TA 2024\TW III\TW IV\"/>
    </mc:Choice>
  </mc:AlternateContent>
  <xr:revisionPtr revIDLastSave="0" documentId="13_ncr:1_{FBF0AA3B-B440-4068-A55B-1DFE413E3F2C}" xr6:coauthVersionLast="47" xr6:coauthVersionMax="47" xr10:uidLastSave="{00000000-0000-0000-0000-000000000000}"/>
  <bookViews>
    <workbookView xWindow="-110" yWindow="-110" windowWidth="19420" windowHeight="10300" xr2:uid="{00000000-000D-0000-FFFF-FFFF00000000}"/>
  </bookViews>
  <sheets>
    <sheet name="SETDA" sheetId="1" r:id="rId1"/>
    <sheet name="INDIKATOR KINERJA" sheetId="2" r:id="rId2"/>
  </sheets>
  <definedNames>
    <definedName name="_xlnm.Print_Area" localSheetId="0">SETDA!$A$1:$AA$260</definedName>
    <definedName name="_xlnm.Print_Titles" localSheetId="0">SETDA!$18:$21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1" i="1" l="1"/>
  <c r="T39" i="1"/>
  <c r="T68" i="1"/>
  <c r="T84" i="1"/>
  <c r="T114" i="1"/>
  <c r="T131" i="1"/>
  <c r="T156" i="1"/>
  <c r="T157" i="1"/>
  <c r="T158" i="1"/>
  <c r="T160" i="1"/>
  <c r="R161" i="1"/>
  <c r="P161" i="1"/>
  <c r="N161" i="1"/>
  <c r="H48" i="1" l="1"/>
  <c r="H41" i="1"/>
  <c r="H38" i="1"/>
  <c r="H22" i="1"/>
  <c r="T143" i="1"/>
  <c r="J114" i="1"/>
  <c r="T66" i="1"/>
  <c r="T41" i="1"/>
  <c r="R41" i="1"/>
  <c r="S156" i="1"/>
  <c r="S131" i="1"/>
  <c r="S126" i="1"/>
  <c r="S123" i="1"/>
  <c r="R84" i="1"/>
  <c r="R126" i="1" l="1"/>
  <c r="Q111" i="1"/>
  <c r="Q110" i="1"/>
  <c r="Q101" i="1"/>
  <c r="Q100" i="1"/>
  <c r="T161" i="1" l="1"/>
  <c r="R156" i="1"/>
  <c r="R65" i="1" l="1"/>
  <c r="T38" i="1" l="1"/>
  <c r="R38" i="1"/>
  <c r="P126" i="1" l="1"/>
  <c r="J65" i="1"/>
  <c r="O112" i="1" l="1"/>
  <c r="P65" i="1" l="1"/>
  <c r="P41" i="1"/>
  <c r="J143" i="1" l="1"/>
  <c r="F143" i="1"/>
  <c r="J131" i="1"/>
  <c r="M114" i="1"/>
  <c r="I59" i="1"/>
  <c r="M56" i="1"/>
  <c r="J41" i="1"/>
  <c r="L156" i="1"/>
  <c r="J156" i="1"/>
  <c r="N126" i="1"/>
  <c r="L126" i="1"/>
  <c r="J126" i="1"/>
  <c r="J123" i="1"/>
  <c r="M101" i="1"/>
  <c r="O101" i="1" s="1"/>
  <c r="M100" i="1"/>
  <c r="O100" i="1" s="1"/>
  <c r="M98" i="1"/>
  <c r="M124" i="1"/>
  <c r="O124" i="1" s="1"/>
  <c r="J95" i="1"/>
  <c r="N65" i="1"/>
  <c r="L65" i="1"/>
  <c r="T65" i="1" s="1"/>
  <c r="L61" i="1"/>
  <c r="J38" i="1"/>
  <c r="N22" i="1"/>
  <c r="L22" i="1"/>
  <c r="J22" i="1"/>
  <c r="H156" i="1"/>
  <c r="F156" i="1"/>
  <c r="H143" i="1"/>
  <c r="H131" i="1"/>
  <c r="H126" i="1"/>
  <c r="F126" i="1"/>
  <c r="H123" i="1"/>
  <c r="F123" i="1"/>
  <c r="H114" i="1"/>
  <c r="H108" i="1"/>
  <c r="H106" i="1"/>
  <c r="H95" i="1"/>
  <c r="F95" i="1"/>
  <c r="H93" i="1"/>
  <c r="H84" i="1"/>
  <c r="F84" i="1"/>
  <c r="H75" i="1"/>
  <c r="H68" i="1"/>
  <c r="H65" i="1"/>
  <c r="H61" i="1"/>
  <c r="R143" i="1" l="1"/>
  <c r="R131" i="1"/>
  <c r="R123" i="1"/>
  <c r="R114" i="1"/>
  <c r="R108" i="1"/>
  <c r="R95" i="1"/>
  <c r="R93" i="1"/>
  <c r="R75" i="1"/>
  <c r="P68" i="1"/>
  <c r="R68" i="1"/>
  <c r="V66" i="1"/>
  <c r="R61" i="1"/>
  <c r="R48" i="1"/>
  <c r="R22" i="1"/>
  <c r="P143" i="1" l="1"/>
  <c r="P93" i="1"/>
  <c r="P84" i="1"/>
  <c r="P156" i="1" l="1"/>
  <c r="P131" i="1" l="1"/>
  <c r="P123" i="1"/>
  <c r="P114" i="1"/>
  <c r="P108" i="1"/>
  <c r="P95" i="1"/>
  <c r="P75" i="1" l="1"/>
  <c r="P61" i="1"/>
  <c r="P48" i="1"/>
  <c r="P22" i="1"/>
  <c r="T124" i="1"/>
  <c r="N156" i="1" l="1"/>
  <c r="N143" i="1"/>
  <c r="L143" i="1"/>
  <c r="N131" i="1"/>
  <c r="N123" i="1"/>
  <c r="L123" i="1"/>
  <c r="N114" i="1"/>
  <c r="L114" i="1"/>
  <c r="N108" i="1"/>
  <c r="L108" i="1"/>
  <c r="N95" i="1" l="1"/>
  <c r="L95" i="1"/>
  <c r="T95" i="1" l="1"/>
  <c r="N84" i="1"/>
  <c r="L84" i="1"/>
  <c r="N93" i="1"/>
  <c r="L93" i="1"/>
  <c r="N41" i="1" l="1"/>
  <c r="N75" i="1"/>
  <c r="N61" i="1"/>
  <c r="N48" i="1"/>
  <c r="L48" i="1"/>
  <c r="T48" i="1" s="1"/>
  <c r="L41" i="1"/>
  <c r="N38" i="1" l="1"/>
  <c r="L75" i="1" l="1"/>
  <c r="L68" i="1"/>
  <c r="N68" i="1"/>
  <c r="I94" i="1" l="1"/>
  <c r="L131" i="1" l="1"/>
  <c r="J108" i="1"/>
  <c r="J93" i="1"/>
  <c r="J84" i="1"/>
  <c r="J75" i="1"/>
  <c r="J68" i="1"/>
  <c r="J61" i="1"/>
  <c r="J48" i="1"/>
  <c r="T22" i="1"/>
  <c r="T33" i="1"/>
  <c r="T31" i="1"/>
  <c r="T28" i="1"/>
  <c r="T63" i="1"/>
  <c r="V22" i="1" l="1"/>
  <c r="T123" i="1"/>
  <c r="V123" i="1" s="1"/>
  <c r="M45" i="1"/>
  <c r="V157" i="1"/>
  <c r="X157" i="1" s="1"/>
  <c r="V158" i="1"/>
  <c r="X158" i="1" s="1"/>
  <c r="V160" i="1"/>
  <c r="X160" i="1" s="1"/>
  <c r="I39" i="1"/>
  <c r="K39" i="1" s="1"/>
  <c r="M39" i="1" s="1"/>
  <c r="Q39" i="1" s="1"/>
  <c r="I37" i="1"/>
  <c r="K37" i="1" s="1"/>
  <c r="M37" i="1" s="1"/>
  <c r="O37" i="1" s="1"/>
  <c r="Q37" i="1" s="1"/>
  <c r="I36" i="1"/>
  <c r="K36" i="1" s="1"/>
  <c r="M36" i="1" s="1"/>
  <c r="O36" i="1" s="1"/>
  <c r="Q36" i="1" s="1"/>
  <c r="I35" i="1"/>
  <c r="K35" i="1" s="1"/>
  <c r="M35" i="1" s="1"/>
  <c r="O35" i="1" s="1"/>
  <c r="Q35" i="1" s="1"/>
  <c r="I34" i="1"/>
  <c r="K34" i="1" s="1"/>
  <c r="M34" i="1" s="1"/>
  <c r="O34" i="1" s="1"/>
  <c r="Q34" i="1" s="1"/>
  <c r="I33" i="1"/>
  <c r="K33" i="1" s="1"/>
  <c r="M33" i="1" s="1"/>
  <c r="O33" i="1" s="1"/>
  <c r="Q33" i="1" s="1"/>
  <c r="T141" i="1"/>
  <c r="V141" i="1" s="1"/>
  <c r="T137" i="1"/>
  <c r="V137" i="1" s="1"/>
  <c r="X137" i="1" s="1"/>
  <c r="X141" i="1" s="1"/>
  <c r="T90" i="1"/>
  <c r="V90" i="1" s="1"/>
  <c r="T129" i="1"/>
  <c r="V129" i="1" s="1"/>
  <c r="X129" i="1" s="1"/>
  <c r="T128" i="1"/>
  <c r="V128" i="1" s="1"/>
  <c r="X128" i="1" s="1"/>
  <c r="I111" i="1"/>
  <c r="M111" i="1" s="1"/>
  <c r="I110" i="1"/>
  <c r="I67" i="1"/>
  <c r="K67" i="1" s="1"/>
  <c r="T42" i="1"/>
  <c r="T153" i="1"/>
  <c r="V153" i="1" s="1"/>
  <c r="X153" i="1" s="1"/>
  <c r="T91" i="1"/>
  <c r="T122" i="1"/>
  <c r="V122" i="1" s="1"/>
  <c r="X122" i="1" s="1"/>
  <c r="T111" i="1"/>
  <c r="V111" i="1" s="1"/>
  <c r="X111" i="1" s="1"/>
  <c r="T110" i="1"/>
  <c r="V110" i="1" s="1"/>
  <c r="X110" i="1" s="1"/>
  <c r="T104" i="1"/>
  <c r="V104" i="1" s="1"/>
  <c r="X104" i="1" s="1"/>
  <c r="T102" i="1"/>
  <c r="V102" i="1" s="1"/>
  <c r="X102" i="1" s="1"/>
  <c r="T98" i="1"/>
  <c r="V98" i="1" s="1"/>
  <c r="X98" i="1" s="1"/>
  <c r="T96" i="1"/>
  <c r="V96" i="1" s="1"/>
  <c r="X96" i="1" s="1"/>
  <c r="T94" i="1"/>
  <c r="T62" i="1"/>
  <c r="V62" i="1" s="1"/>
  <c r="X62" i="1" s="1"/>
  <c r="T46" i="1"/>
  <c r="V46" i="1" s="1"/>
  <c r="X46" i="1" s="1"/>
  <c r="T44" i="1"/>
  <c r="V44" i="1" s="1"/>
  <c r="X44" i="1" s="1"/>
  <c r="T154" i="1"/>
  <c r="V154" i="1" s="1"/>
  <c r="T152" i="1"/>
  <c r="V116" i="1"/>
  <c r="T99" i="1"/>
  <c r="V99" i="1" s="1"/>
  <c r="X99" i="1" s="1"/>
  <c r="F93" i="1"/>
  <c r="T81" i="1"/>
  <c r="V81" i="1" s="1"/>
  <c r="X81" i="1" s="1"/>
  <c r="T67" i="1"/>
  <c r="V63" i="1"/>
  <c r="X63" i="1" s="1"/>
  <c r="W65" i="1"/>
  <c r="T56" i="1"/>
  <c r="V56" i="1" s="1"/>
  <c r="X56" i="1" s="1"/>
  <c r="T54" i="1"/>
  <c r="V54" i="1" s="1"/>
  <c r="X54" i="1" s="1"/>
  <c r="V114" i="1"/>
  <c r="S161" i="1"/>
  <c r="U161" i="1" s="1"/>
  <c r="W160" i="1"/>
  <c r="W159" i="1"/>
  <c r="W158" i="1"/>
  <c r="W157" i="1"/>
  <c r="U156" i="1"/>
  <c r="T155" i="1"/>
  <c r="V155" i="1" s="1"/>
  <c r="X155" i="1" s="1"/>
  <c r="S155" i="1"/>
  <c r="U155" i="1" s="1"/>
  <c r="W155" i="1" s="1"/>
  <c r="S154" i="1"/>
  <c r="U154" i="1" s="1"/>
  <c r="S153" i="1"/>
  <c r="U153" i="1" s="1"/>
  <c r="S152" i="1"/>
  <c r="U152" i="1" s="1"/>
  <c r="S151" i="1"/>
  <c r="U151" i="1" s="1"/>
  <c r="I151" i="1"/>
  <c r="K150" i="1"/>
  <c r="S150" i="1" s="1"/>
  <c r="U150" i="1" s="1"/>
  <c r="I150" i="1"/>
  <c r="K149" i="1"/>
  <c r="S149" i="1" s="1"/>
  <c r="U149" i="1" s="1"/>
  <c r="I149" i="1"/>
  <c r="K148" i="1"/>
  <c r="S148" i="1" s="1"/>
  <c r="U148" i="1" s="1"/>
  <c r="I148" i="1"/>
  <c r="U147" i="1"/>
  <c r="I147" i="1"/>
  <c r="S146" i="1"/>
  <c r="U146" i="1" s="1"/>
  <c r="I146" i="1"/>
  <c r="K145" i="1"/>
  <c r="S145" i="1" s="1"/>
  <c r="U145" i="1" s="1"/>
  <c r="I145" i="1"/>
  <c r="S144" i="1"/>
  <c r="U144" i="1" s="1"/>
  <c r="I144" i="1"/>
  <c r="S143" i="1"/>
  <c r="U143" i="1" s="1"/>
  <c r="I143" i="1"/>
  <c r="T142" i="1"/>
  <c r="V142" i="1" s="1"/>
  <c r="X142" i="1" s="1"/>
  <c r="S142" i="1"/>
  <c r="U142" i="1" s="1"/>
  <c r="W142" i="1" s="1"/>
  <c r="W92" i="1"/>
  <c r="I92" i="1"/>
  <c r="W91" i="1"/>
  <c r="W141" i="1"/>
  <c r="W140" i="1"/>
  <c r="I140" i="1"/>
  <c r="S140" i="1" s="1"/>
  <c r="U140" i="1" s="1"/>
  <c r="W139" i="1"/>
  <c r="S139" i="1"/>
  <c r="U139" i="1" s="1"/>
  <c r="I138" i="1"/>
  <c r="W137" i="1"/>
  <c r="I137" i="1"/>
  <c r="K137" i="1" s="1"/>
  <c r="S137" i="1" s="1"/>
  <c r="U137" i="1" s="1"/>
  <c r="W136" i="1"/>
  <c r="I136" i="1"/>
  <c r="K136" i="1" s="1"/>
  <c r="S136" i="1" s="1"/>
  <c r="U136" i="1" s="1"/>
  <c r="I135" i="1"/>
  <c r="I134" i="1"/>
  <c r="W133" i="1"/>
  <c r="U133" i="1"/>
  <c r="I133" i="1"/>
  <c r="I132" i="1"/>
  <c r="U131" i="1"/>
  <c r="I131" i="1"/>
  <c r="T130" i="1"/>
  <c r="V130" i="1" s="1"/>
  <c r="X130" i="1" s="1"/>
  <c r="S130" i="1"/>
  <c r="U130" i="1" s="1"/>
  <c r="W130" i="1" s="1"/>
  <c r="U129" i="1"/>
  <c r="I129" i="1"/>
  <c r="I128" i="1"/>
  <c r="I127" i="1"/>
  <c r="W125" i="1"/>
  <c r="U125" i="1"/>
  <c r="I125" i="1"/>
  <c r="I124" i="1"/>
  <c r="U123" i="1"/>
  <c r="W123" i="1" s="1"/>
  <c r="I123" i="1"/>
  <c r="I122" i="1"/>
  <c r="T121" i="1"/>
  <c r="V121" i="1" s="1"/>
  <c r="X121" i="1" s="1"/>
  <c r="I121" i="1"/>
  <c r="I120" i="1"/>
  <c r="I119" i="1"/>
  <c r="I118" i="1"/>
  <c r="T117" i="1"/>
  <c r="V117" i="1" s="1"/>
  <c r="X117" i="1" s="1"/>
  <c r="I117" i="1"/>
  <c r="W115" i="1"/>
  <c r="I115" i="1"/>
  <c r="F114" i="1"/>
  <c r="U114" i="1"/>
  <c r="I113" i="1"/>
  <c r="X112" i="1"/>
  <c r="W112" i="1"/>
  <c r="I112" i="1"/>
  <c r="G111" i="1"/>
  <c r="K111" i="1" s="1"/>
  <c r="O111" i="1" s="1"/>
  <c r="G110" i="1"/>
  <c r="T109" i="1"/>
  <c r="V109" i="1" s="1"/>
  <c r="X109" i="1" s="1"/>
  <c r="W109" i="1"/>
  <c r="I109" i="1"/>
  <c r="F108" i="1"/>
  <c r="W108" i="1"/>
  <c r="S108" i="1"/>
  <c r="I108" i="1"/>
  <c r="T107" i="1"/>
  <c r="T106" i="1" s="1"/>
  <c r="V106" i="1" s="1"/>
  <c r="F106" i="1"/>
  <c r="U106" i="1"/>
  <c r="W106" i="1" s="1"/>
  <c r="W105" i="1"/>
  <c r="I105" i="1"/>
  <c r="W104" i="1"/>
  <c r="I104" i="1"/>
  <c r="I103" i="1"/>
  <c r="W102" i="1"/>
  <c r="T101" i="1"/>
  <c r="V101" i="1" s="1"/>
  <c r="X101" i="1" s="1"/>
  <c r="W101" i="1"/>
  <c r="I101" i="1"/>
  <c r="T100" i="1"/>
  <c r="V100" i="1" s="1"/>
  <c r="X100" i="1" s="1"/>
  <c r="W100" i="1"/>
  <c r="I100" i="1"/>
  <c r="W98" i="1"/>
  <c r="W96" i="1"/>
  <c r="S96" i="1"/>
  <c r="U96" i="1" s="1"/>
  <c r="U95" i="1"/>
  <c r="W95" i="1" s="1"/>
  <c r="I95" i="1"/>
  <c r="W94" i="1"/>
  <c r="U93" i="1"/>
  <c r="I93" i="1"/>
  <c r="W85" i="1"/>
  <c r="S85" i="1"/>
  <c r="I85" i="1"/>
  <c r="U84" i="1"/>
  <c r="W84" i="1" s="1"/>
  <c r="T83" i="1"/>
  <c r="V83" i="1" s="1"/>
  <c r="X83" i="1" s="1"/>
  <c r="S83" i="1"/>
  <c r="U83" i="1" s="1"/>
  <c r="W83" i="1" s="1"/>
  <c r="W82" i="1"/>
  <c r="S82" i="1"/>
  <c r="I82" i="1"/>
  <c r="W81" i="1"/>
  <c r="S81" i="1"/>
  <c r="U81" i="1" s="1"/>
  <c r="I81" i="1"/>
  <c r="W80" i="1"/>
  <c r="S80" i="1"/>
  <c r="U80" i="1" s="1"/>
  <c r="I80" i="1"/>
  <c r="W79" i="1"/>
  <c r="U79" i="1"/>
  <c r="I79" i="1"/>
  <c r="W78" i="1"/>
  <c r="S78" i="1"/>
  <c r="U78" i="1" s="1"/>
  <c r="I78" i="1"/>
  <c r="W77" i="1"/>
  <c r="S77" i="1"/>
  <c r="U77" i="1" s="1"/>
  <c r="I77" i="1"/>
  <c r="T76" i="1"/>
  <c r="V76" i="1" s="1"/>
  <c r="X76" i="1" s="1"/>
  <c r="T74" i="1"/>
  <c r="V74" i="1" s="1"/>
  <c r="X74" i="1" s="1"/>
  <c r="S74" i="1"/>
  <c r="U74" i="1" s="1"/>
  <c r="W74" i="1" s="1"/>
  <c r="T73" i="1"/>
  <c r="X73" i="1"/>
  <c r="W73" i="1"/>
  <c r="I73" i="1"/>
  <c r="S72" i="1"/>
  <c r="U72" i="1" s="1"/>
  <c r="I72" i="1"/>
  <c r="G72" i="1"/>
  <c r="T71" i="1"/>
  <c r="V71" i="1" s="1"/>
  <c r="X71" i="1" s="1"/>
  <c r="W71" i="1"/>
  <c r="S71" i="1"/>
  <c r="U71" i="1" s="1"/>
  <c r="I71" i="1"/>
  <c r="W70" i="1"/>
  <c r="U70" i="1"/>
  <c r="I70" i="1"/>
  <c r="T69" i="1"/>
  <c r="V69" i="1" s="1"/>
  <c r="X69" i="1" s="1"/>
  <c r="W69" i="1"/>
  <c r="I69" i="1"/>
  <c r="W68" i="1"/>
  <c r="I68" i="1"/>
  <c r="W67" i="1"/>
  <c r="U65" i="1"/>
  <c r="I65" i="1"/>
  <c r="W64" i="1"/>
  <c r="S64" i="1"/>
  <c r="U64" i="1" s="1"/>
  <c r="I64" i="1"/>
  <c r="W63" i="1"/>
  <c r="S63" i="1"/>
  <c r="U63" i="1" s="1"/>
  <c r="I63" i="1"/>
  <c r="W62" i="1"/>
  <c r="S62" i="1"/>
  <c r="I62" i="1"/>
  <c r="I61" i="1"/>
  <c r="T60" i="1"/>
  <c r="V60" i="1" s="1"/>
  <c r="X60" i="1" s="1"/>
  <c r="S60" i="1"/>
  <c r="U60" i="1" s="1"/>
  <c r="W60" i="1" s="1"/>
  <c r="I58" i="1"/>
  <c r="I56" i="1"/>
  <c r="W55" i="1"/>
  <c r="I54" i="1"/>
  <c r="W50" i="1"/>
  <c r="I48" i="1"/>
  <c r="W46" i="1"/>
  <c r="W45" i="1"/>
  <c r="I45" i="1"/>
  <c r="W44" i="1"/>
  <c r="I44" i="1"/>
  <c r="W43" i="1"/>
  <c r="W42" i="1"/>
  <c r="I41" i="1"/>
  <c r="T40" i="1"/>
  <c r="V40" i="1" s="1"/>
  <c r="X40" i="1" s="1"/>
  <c r="S40" i="1"/>
  <c r="U40" i="1" s="1"/>
  <c r="W40" i="1" s="1"/>
  <c r="V38" i="1"/>
  <c r="I38" i="1"/>
  <c r="W37" i="1"/>
  <c r="W36" i="1"/>
  <c r="W35" i="1"/>
  <c r="W34" i="1"/>
  <c r="V33" i="1"/>
  <c r="X33" i="1" s="1"/>
  <c r="W33" i="1"/>
  <c r="W32" i="1"/>
  <c r="U32" i="1"/>
  <c r="I32" i="1"/>
  <c r="V31" i="1"/>
  <c r="X31" i="1" s="1"/>
  <c r="W31" i="1"/>
  <c r="I31" i="1"/>
  <c r="W30" i="1"/>
  <c r="U30" i="1"/>
  <c r="I30" i="1"/>
  <c r="I29" i="1"/>
  <c r="V28" i="1"/>
  <c r="X28" i="1" s="1"/>
  <c r="I28" i="1"/>
  <c r="I27" i="1"/>
  <c r="I26" i="1"/>
  <c r="I25" i="1"/>
  <c r="I24" i="1"/>
  <c r="I23" i="1"/>
  <c r="I22" i="1"/>
  <c r="S33" i="1"/>
  <c r="S110" i="1" l="1"/>
  <c r="K110" i="1"/>
  <c r="M110" i="1" s="1"/>
  <c r="O110" i="1" s="1"/>
  <c r="V67" i="1"/>
  <c r="X67" i="1" s="1"/>
  <c r="V65" i="1"/>
  <c r="X65" i="1" s="1"/>
  <c r="V41" i="1"/>
  <c r="X41" i="1" s="1"/>
  <c r="X106" i="1"/>
  <c r="V94" i="1"/>
  <c r="X94" i="1" s="1"/>
  <c r="T93" i="1"/>
  <c r="V93" i="1" s="1"/>
  <c r="X93" i="1" s="1"/>
  <c r="V39" i="1"/>
  <c r="X39" i="1" s="1"/>
  <c r="S67" i="1"/>
  <c r="M67" i="1"/>
  <c r="S34" i="1"/>
  <c r="X114" i="1"/>
  <c r="S111" i="1"/>
  <c r="S35" i="1"/>
  <c r="X123" i="1"/>
  <c r="V107" i="1"/>
  <c r="X107" i="1" s="1"/>
  <c r="V156" i="1"/>
  <c r="X156" i="1" s="1"/>
  <c r="T49" i="1"/>
  <c r="V49" i="1" s="1"/>
  <c r="X49" i="1" s="1"/>
  <c r="T64" i="1"/>
  <c r="V64" i="1" s="1"/>
  <c r="X64" i="1" s="1"/>
  <c r="T125" i="1"/>
  <c r="V125" i="1" s="1"/>
  <c r="X125" i="1" s="1"/>
  <c r="T126" i="1"/>
  <c r="V126" i="1" s="1"/>
  <c r="X126" i="1" s="1"/>
  <c r="T132" i="1"/>
  <c r="V131" i="1" s="1"/>
  <c r="T85" i="1"/>
  <c r="V143" i="1"/>
  <c r="T75" i="1"/>
  <c r="V75" i="1" s="1"/>
  <c r="X75" i="1" s="1"/>
  <c r="U33" i="1"/>
  <c r="U34" i="1"/>
  <c r="T108" i="1"/>
  <c r="V108" i="1" s="1"/>
  <c r="X108" i="1" s="1"/>
  <c r="U35" i="1"/>
  <c r="V48" i="1"/>
  <c r="X48" i="1" s="1"/>
  <c r="T115" i="1"/>
  <c r="V115" i="1" s="1"/>
  <c r="X115" i="1" s="1"/>
  <c r="V124" i="1"/>
  <c r="X124" i="1" s="1"/>
  <c r="V68" i="1"/>
  <c r="X68" i="1" s="1"/>
  <c r="V91" i="1"/>
  <c r="X91" i="1" s="1"/>
  <c r="T61" i="1"/>
  <c r="V61" i="1" s="1"/>
  <c r="X61" i="1" s="1"/>
  <c r="T79" i="1"/>
  <c r="V79" i="1" s="1"/>
  <c r="X79" i="1" s="1"/>
  <c r="V95" i="1"/>
  <c r="X95" i="1" s="1"/>
  <c r="V42" i="1"/>
  <c r="X42" i="1" s="1"/>
  <c r="W22" i="1"/>
  <c r="X22" i="1"/>
  <c r="X154" i="1"/>
  <c r="V152" i="1"/>
  <c r="X152" i="1" s="1"/>
  <c r="V84" i="1" l="1"/>
  <c r="V132" i="1"/>
  <c r="X132" i="1" s="1"/>
  <c r="V85" i="1"/>
  <c r="X85" i="1" s="1"/>
  <c r="W143" i="1"/>
  <c r="X143" i="1"/>
  <c r="T127" i="1"/>
  <c r="V127" i="1" s="1"/>
  <c r="X127" i="1" s="1"/>
  <c r="X84" i="1" l="1"/>
  <c r="V161" i="1"/>
</calcChain>
</file>

<file path=xl/sharedStrings.xml><?xml version="1.0" encoding="utf-8"?>
<sst xmlns="http://schemas.openxmlformats.org/spreadsheetml/2006/main" count="889" uniqueCount="584">
  <si>
    <t>Sasaran</t>
  </si>
  <si>
    <t>Indikator Kinerja Program (Outcome) / Kegiatan (Output)</t>
  </si>
  <si>
    <t>I</t>
  </si>
  <si>
    <t>Perangkat Daerah Penanggung Jawab</t>
  </si>
  <si>
    <t>K</t>
  </si>
  <si>
    <t>Rp</t>
  </si>
  <si>
    <t>Rata-rata capaian kinerja (%)</t>
  </si>
  <si>
    <t>Predikat kinerja</t>
  </si>
  <si>
    <t>Bagian Umum</t>
  </si>
  <si>
    <t>Prosentase administrasi kepegawaian tepat waktu</t>
  </si>
  <si>
    <t>Formulir E.81</t>
  </si>
  <si>
    <t>Indikator dan target kinerja Perangkat Daerah Kabupaten/Kota yang mengacu pada sasaran RKPD :</t>
  </si>
  <si>
    <t>Program/Kegiatan</t>
  </si>
  <si>
    <t>13 = 6 + 12</t>
  </si>
  <si>
    <t>14 = 13/5 x 100%</t>
  </si>
  <si>
    <t>No</t>
  </si>
  <si>
    <t>Renja Perangkat Daerah Sekretariat Daerah Kabupaten Ponorogo</t>
  </si>
  <si>
    <t xml:space="preserve">Evaluasi Terhadap Hasil Renja Perangkat Daerah Lingkup Kabupaten / Kota </t>
  </si>
  <si>
    <t>Jumlah dokumen rupa bumi</t>
  </si>
  <si>
    <t>Bagian Tata Pemerintahan dan Kerjasama</t>
  </si>
  <si>
    <t>Jumlah produk hukum daerah yang diselesaikan tepat waktu</t>
  </si>
  <si>
    <t>Jumlah produk hukum daerah yang dipublikasikan</t>
  </si>
  <si>
    <t>Jumlah dokumen laporan RANHAM</t>
  </si>
  <si>
    <t>Bagian Hukum</t>
  </si>
  <si>
    <t>Bagian Adm Perekonomian dan SDA</t>
  </si>
  <si>
    <t>Bagian Adm Pembangunan</t>
  </si>
  <si>
    <t>Prosentase Unit Pelayanan dengan nilai Survey Kepuasan Masyarakat (SKM) baik</t>
  </si>
  <si>
    <t>Penyediaan Jasa Komunikasi, Sumber Daya Air dan Listrik</t>
  </si>
  <si>
    <t>Jumlah jenis tagihan jasa komunikasi, sumber daya air dan listrik</t>
  </si>
  <si>
    <t>Jumlah MOU jasa cleaning service</t>
  </si>
  <si>
    <t>Jumlah Bangunan Gedung yang terpelihara</t>
  </si>
  <si>
    <t>jumlah operasional pengelolaan sumber PAD</t>
  </si>
  <si>
    <t>Jumlah kelompok pendukung kegiatan upacara pemerintah daerah yang difasilitasi</t>
  </si>
  <si>
    <t>Jumlah dokumen laporan SPIP</t>
  </si>
  <si>
    <t>Bagian Perencanaan dan Keuangan</t>
  </si>
  <si>
    <t>Prosentase Perangkat Daerah yang di Anjab dan ABK</t>
  </si>
  <si>
    <t>Bagian Organisasi</t>
  </si>
  <si>
    <t>Bagian Protokol dan Komunikasi Pimpinan</t>
  </si>
  <si>
    <t>Jumlah kegiatan Pimpinan Daerah yang difasilitasi pelayanan keprotokolan</t>
  </si>
  <si>
    <t>4 dokumen</t>
  </si>
  <si>
    <t>2 dokumen</t>
  </si>
  <si>
    <t>1 dokumen</t>
  </si>
  <si>
    <t>4 Dokumen</t>
  </si>
  <si>
    <t>1 Dokumen</t>
  </si>
  <si>
    <t>7 jenis</t>
  </si>
  <si>
    <t>1 MOU</t>
  </si>
  <si>
    <t>450 kegiatan</t>
  </si>
  <si>
    <t>110 operasional</t>
  </si>
  <si>
    <t>2 orang</t>
  </si>
  <si>
    <t>3 paket</t>
  </si>
  <si>
    <t>60 Unit Pelayanan</t>
  </si>
  <si>
    <t>7 dokumen</t>
  </si>
  <si>
    <t>4 Perangkat Daerah</t>
  </si>
  <si>
    <t>2 Dokumen</t>
  </si>
  <si>
    <t>12 dokumen</t>
  </si>
  <si>
    <t>43 unit</t>
  </si>
  <si>
    <t>60 acara</t>
  </si>
  <si>
    <t>45 ASN</t>
  </si>
  <si>
    <t>2 kelompok</t>
  </si>
  <si>
    <t>360 dokumen</t>
  </si>
  <si>
    <t>360 kegiatan</t>
  </si>
  <si>
    <t>360 koordinasi</t>
  </si>
  <si>
    <t>25 dokumen</t>
  </si>
  <si>
    <t>Prosentase aspek dalam penyelenggaraan pemerintah daerah (LPPD) Kabupaten Ponorogo yang memiliki capaian kinerja dengan predikat tinggi</t>
  </si>
  <si>
    <t>Cakupan layanan pengadaan barang dan jasa secara elektronik (e-procurement) melalui LPSE</t>
  </si>
  <si>
    <t>Prosentase realisasi belanja langsung</t>
  </si>
  <si>
    <t>Laju inflasi daerah</t>
  </si>
  <si>
    <t>Prosentase SKPD yang menyusun Laporan Kinerja (LKj) dengan benar dan tepat waktu</t>
  </si>
  <si>
    <t>SEKRETARIS DAERAH</t>
  </si>
  <si>
    <t>KABUPATEN PONOROGO</t>
  </si>
  <si>
    <t>SELAKU</t>
  </si>
  <si>
    <t>PENGGUNA ANGGARAN</t>
  </si>
  <si>
    <t>Dr. Drs. AGUS PRAMONO, M.M.</t>
  </si>
  <si>
    <t>Pembina Utama Madya</t>
  </si>
  <si>
    <t>NIP. 19700111 198903 1 002</t>
  </si>
  <si>
    <t>INDIKATOR KINERJA DAERAH KABUPATEN PONOROGO TAHUN 2016-2021</t>
  </si>
  <si>
    <t>NO</t>
  </si>
  <si>
    <t>ASPEK/FOKUS/BIDANG/URUSAN/INDIKATOR KINERJA PEMBANGUNAN DAERAH</t>
  </si>
  <si>
    <t>KONDISI KINERJA PADA AWAL RPJMD 2015</t>
  </si>
  <si>
    <t>CAPAIAN KINERJA</t>
  </si>
  <si>
    <t>TARGET KINERJA</t>
  </si>
  <si>
    <t>SKPD PENANGGUNG JAWAB</t>
  </si>
  <si>
    <t>Administrasi Pemerintahan</t>
  </si>
  <si>
    <t>Nilai akuntabilitas kinerja instansi pemerintahan</t>
  </si>
  <si>
    <t>CC</t>
  </si>
  <si>
    <t>B</t>
  </si>
  <si>
    <t>A</t>
  </si>
  <si>
    <t xml:space="preserve"> -</t>
  </si>
  <si>
    <t>Sekretariat Daerah</t>
  </si>
  <si>
    <t>Ponorogo, 30 April 2020</t>
  </si>
  <si>
    <t>Fokus Layanan Urusan Penunjang</t>
  </si>
  <si>
    <t>BB</t>
  </si>
  <si>
    <t>86,70%</t>
  </si>
  <si>
    <t>95,52%</t>
  </si>
  <si>
    <t>2,2%</t>
  </si>
  <si>
    <t>Jumlah dokumen SPJ yang terverifikasi</t>
  </si>
  <si>
    <t>Nilai survey kepuasan pelayanan dibidang tata usaha pimpinan, staf ahli dan kepegawaian,  perlengkapan dan rumah tangga</t>
  </si>
  <si>
    <t xml:space="preserve"> </t>
  </si>
  <si>
    <t>0</t>
  </si>
  <si>
    <t>Penataan Administrasi Pemerintahan</t>
  </si>
  <si>
    <t>Pengelolaan Administrasi Kewilayahan</t>
  </si>
  <si>
    <t>Fasilitasi Pelaksanaan Otonomi Daerah</t>
  </si>
  <si>
    <t>Fasilitasi Penyusunan Produk Hukum Daerah</t>
  </si>
  <si>
    <t>Fasilitasi Bantuan Hukum</t>
  </si>
  <si>
    <t>Pendokumentasian Produk Hukum dan Pengelolaan Informasi Hukum</t>
  </si>
  <si>
    <t>Kegiatan Fasilitasi dan Koordinasi Hukum</t>
  </si>
  <si>
    <t>Kegiatan Pelaksanaan Kebijakan Perekonomian</t>
  </si>
  <si>
    <t>Koordinasi, Sinkronisasi, Monitoring dan Evaluasi Kebijakan Pengeloaan BUMD dan BLUD</t>
  </si>
  <si>
    <t>Pengendalian dan Distribusi Perekonomian</t>
  </si>
  <si>
    <t>Perencanaan dan Pengawasan Ekonomi Mikro Kecil</t>
  </si>
  <si>
    <t>Kegiatan Pelaksanaan Administrasi Pembangunan</t>
  </si>
  <si>
    <t>Fasilitasi Penyusunan Program Pembangunan</t>
  </si>
  <si>
    <t>Pengendalian dan Evaluasi Program Pembangunan</t>
  </si>
  <si>
    <t>Pengelolaan Evaluasi dan Pelaporan Pelaksanaan Pembangunan</t>
  </si>
  <si>
    <t>Kegiatan Pengelolaan Pengadaan Barang dan Jasa</t>
  </si>
  <si>
    <t>Pengelolaan Pengadaan Barang dan Jasa</t>
  </si>
  <si>
    <t>Pengelolaan Layanan Pengadaan secara Elektronik</t>
  </si>
  <si>
    <t>Pembinaan dan Advokasi Pengadaan Barang dan Jasa</t>
  </si>
  <si>
    <t>Kegiatan Administrasi Keuangan Perangkat Daerah</t>
  </si>
  <si>
    <t>Penyediaan Administrasi Pelaksanaan Tugas ASN</t>
  </si>
  <si>
    <t>Kegiatan Administrasi Kepegawaian Perangkat Daerah</t>
  </si>
  <si>
    <t>Pengadaan Pakaian Dinas beserta Atribut Kelengkapannya</t>
  </si>
  <si>
    <t>Kegiatan Administrasi Umum Perangkat Daerah</t>
  </si>
  <si>
    <t>Penyediaan Komponen Instalasi Listrik/ Penerangan Bangunan Kantor</t>
  </si>
  <si>
    <t>Penyediaan Peralatan dan Perlengkapan Kantor</t>
  </si>
  <si>
    <t>Penyediaan Peralatan Rumah Tangga</t>
  </si>
  <si>
    <t>Penyediaan Bahan Logistik Kantor</t>
  </si>
  <si>
    <t>Penyediaan Barang Cetakan dan Penggandaan</t>
  </si>
  <si>
    <t>Fasilitasi Kunjungan Tamu</t>
  </si>
  <si>
    <t>Penyelenggaraan Rapat Koordinasi dan Konsultasi SKPD</t>
  </si>
  <si>
    <t>Kegiatan Pengadaan Barang Milik Daerah Penunjang Urusan Pemerintah Daerah</t>
  </si>
  <si>
    <t>Pengadaan Mebel</t>
  </si>
  <si>
    <t>Kegiatan Penyediaan Jasa Penunjang Urusan Pemerintahan Daerah</t>
  </si>
  <si>
    <t>Penyediaan Jasa Surat Menyurat</t>
  </si>
  <si>
    <t>Penyediaan Jasa Pelayanan Umum Kantor</t>
  </si>
  <si>
    <t>Kegiatan Pemeliharaan Barang Milik Daerah Penunjang Urusan Pemerintahan Daerah</t>
  </si>
  <si>
    <t>Penyediaan Jasa Pemeliharaan, Biaya Pemeliharaan dan Pajak Kendaraan Perorangan Dinas atau Kendaraan Dinas Jabatan</t>
  </si>
  <si>
    <t>Pemeliharaan Mebel</t>
  </si>
  <si>
    <t>Pemeliharaan Peralatan dan Mesin Lainnya</t>
  </si>
  <si>
    <t>Pemeliharaan/ Rehabilitasi Gedung Kantor dan Bangunan Lainnya</t>
  </si>
  <si>
    <t>Pemeliharaan/ Rehabilitasi Sarana dan Prasarana Gedung Kantor atau Bangunan Lainnya</t>
  </si>
  <si>
    <t>Kegiatan Administrasi Keuangan dan Operasional Kepala Daerah dan Wakil Kepala Daerah</t>
  </si>
  <si>
    <t>Pelaksanaan Medical Check Up Kepala Daerah dan Wakil Kepala Daerah</t>
  </si>
  <si>
    <t>Penyediaan Kebutuhan Rumah Tangga Kepala Daerah</t>
  </si>
  <si>
    <t>Penyediaan Kebutuhan Rumah Tangga Wakil Kepala Daerah</t>
  </si>
  <si>
    <t>Penyediaan Kebutuhan Rumah Tangga Sekretariat Daerah</t>
  </si>
  <si>
    <t>Kegiatan Perencanaan, Penganggaran dan Evaluasi Kinerja Perangkat Daerah</t>
  </si>
  <si>
    <t>Penyusunan Dokumen Perencanaan Perangkat Daerah</t>
  </si>
  <si>
    <t>Koordinasi dan Penyusunan Laporan Capaian Kinerja dan Ikhtisar Realisasi Kinerja SKPD</t>
  </si>
  <si>
    <t>Evaluasi Kinerja Perangkat Daerah</t>
  </si>
  <si>
    <t>Kegiatan Penataan Organisasi</t>
  </si>
  <si>
    <t>Pengelolaan Kelembagaan dan Analisis Jabatan</t>
  </si>
  <si>
    <t>Fasilitasi Pelayanan Publik dan Tata Laksana</t>
  </si>
  <si>
    <t>Peningkatan Kinerja dan Reformasi Birokrasi</t>
  </si>
  <si>
    <t>Kegiatan Pelaksanaan Protokol dan Komunikasi Pimpinan</t>
  </si>
  <si>
    <t>Fasilitasi Keprotokolan</t>
  </si>
  <si>
    <t>Fasilitasi Komunikasi Pimpinan</t>
  </si>
  <si>
    <t>Pendokumentasian Tugas Pimpinan</t>
  </si>
  <si>
    <t>Kegiatan Pemantauan Kebijakan Sumber Daya Alam</t>
  </si>
  <si>
    <t>Koordinasi, Sinkronisasi dan Evaluasi Kebijakan Pertambangan dan Lingkungan Hidup</t>
  </si>
  <si>
    <t>Pelaksanaan Penatausahaan dan Pengujian/ Verifikasi Keuangan SKPD</t>
  </si>
  <si>
    <t>Kegiatan Fasilitasi Kerjasama Daerah</t>
  </si>
  <si>
    <t>Fasilitasi Kerjasama Dalam Negeri</t>
  </si>
  <si>
    <t>Kegiatan Administrasi Tata Pemerintahan</t>
  </si>
  <si>
    <t>Prosentase jumlah Inovasi Pelayanan Kecamatan  dan Kelurahan</t>
  </si>
  <si>
    <t>Prosentase Hasil Koordinasi dengan Pemerintah Pusat dan Pemerintah Daerah lainnya</t>
  </si>
  <si>
    <t>Prosentase Perangkat Daerah yang menyusun LPPD dan SPM dengan benar dan tepat waktu</t>
  </si>
  <si>
    <t>Prosentase Fasilitasi Izin Cuti Bupati dan Wakil Bupati dan Proses Administrasi PAW Pimpinan dan Anggota DPRD</t>
  </si>
  <si>
    <t>Prosentase perikatan kerja sama yang ditindaklanjuti</t>
  </si>
  <si>
    <t>Prosentase kesepakatan bersama menjadi perjanjian</t>
  </si>
  <si>
    <t>Jumlah dokumen batas wilayah</t>
  </si>
  <si>
    <t>Jumlah dokumen Standar Pelayanan Minimal (SPM)</t>
  </si>
  <si>
    <t>Jumlah fasilitasi izin cuti bupati/wakil bupati dan jumlah fasilitasi proses administrasi PAW pimpinan dan anggota DPRD</t>
  </si>
  <si>
    <t>Jumlah Dokumen terlaksananya HUT Prov Jatim</t>
  </si>
  <si>
    <t>Prosentase kerjasama daerah yang terfasilitasi</t>
  </si>
  <si>
    <t>Jumlah dokumen kerjasama daerah dalam negeri</t>
  </si>
  <si>
    <t>21 Dokumen</t>
  </si>
  <si>
    <t>Prosentase Produk Hukum Daerah yang tidak bertentangan dengan Peraturan Perundang-undangan</t>
  </si>
  <si>
    <t>Jumlah laporan hasil koordinasi, fasilitasi dan evaluasi dengan Pemerintah Pusat dan Provinsi</t>
  </si>
  <si>
    <t>Prosentase permasalahan hukum yang diselesaikan</t>
  </si>
  <si>
    <t>Jumlah peserta sosialisasi peraturan perundang-undangan dan penyuluhan hukum</t>
  </si>
  <si>
    <t>2000 Dokumen</t>
  </si>
  <si>
    <t>60 Laporan</t>
  </si>
  <si>
    <t>210 Peserta</t>
  </si>
  <si>
    <t>Prosentase permasalahan di bidang kebijakan perekonomian yang terselesaikan</t>
  </si>
  <si>
    <t>Jumlah BUMD yang dilakukan monitoring dan evaluasi</t>
  </si>
  <si>
    <t>Jumlah perangkat daerah yang dikoordinasikn di bidang DBHCHT</t>
  </si>
  <si>
    <t>Jumlah pasar/gudang yang di monitoring dan koordinasi Tim TPID</t>
  </si>
  <si>
    <t>Prosentase permasalahan/isu strategis di bidang sumber daya alam yang terselesaikan</t>
  </si>
  <si>
    <t>Jumlah Perangkat Daerah yang dikoordinasikan di bidang sumber daya alam dan lingkungan hidup</t>
  </si>
  <si>
    <t>11 perangkat daerah</t>
  </si>
  <si>
    <t>10 pasar dan gudang</t>
  </si>
  <si>
    <t>Prosentase Perangkat Daerah yang penyerapan dana APBD sesuai ketentuan dan tepat waktu</t>
  </si>
  <si>
    <t>Jumlah Dokumen Rencana Pembangunan Daerah (RPD) dan perubahan</t>
  </si>
  <si>
    <t>Jumlah Dokumen Evaluasi Penyerapan dan Pengawasan Anggaran (TEPRA)</t>
  </si>
  <si>
    <t>Jumlah Dokumen Progres Pembangunan Daerah (PPD)</t>
  </si>
  <si>
    <t>Jumlah Perangkat Daerah yang terfasilitasi  Aplikasi SMEP</t>
  </si>
  <si>
    <t>Jumlah  Dokumen Hasil  Pembangunan Daerah (HPD)</t>
  </si>
  <si>
    <t>50 perangkat daerah</t>
  </si>
  <si>
    <t>Prosentase efisiensi anggaran setelah dilakukan proses tender</t>
  </si>
  <si>
    <t>Jumlah pengadaan barang dan jasa yang diselesaikan tepat waktu</t>
  </si>
  <si>
    <t>Jumlah laporan pengadaan barang dan jasa</t>
  </si>
  <si>
    <t>Jumlah Dokumen Laporan Fisik proses PBJ</t>
  </si>
  <si>
    <t>Nilai kepuasan masyarakat (SKM) pelayanan PBJ secara elektronik      ( e-procurement )</t>
  </si>
  <si>
    <t>Jumlah permintaan/perubahan user ID penyedia dan pengelola</t>
  </si>
  <si>
    <t xml:space="preserve"> Jumlah SDM barang/Jasa yang mempunyai sertifikat keahlian</t>
  </si>
  <si>
    <t xml:space="preserve"> Prosentase sengketa pengadaan barang/Jasa yang diselesaikan</t>
  </si>
  <si>
    <t>103 dokumen</t>
  </si>
  <si>
    <t>103 skm</t>
  </si>
  <si>
    <t>150 dok</t>
  </si>
  <si>
    <t>15 orang</t>
  </si>
  <si>
    <t>Jumlah Pimpinan dan Pegawai penerima fasilitas pakaian dinas dan kelengkapannya</t>
  </si>
  <si>
    <t xml:space="preserve">Jumlah Bangunan Gedung/Kantor  Yang Terfasilitasi Kebutuhan Instalasi Listrik/Penerangan Bangunan Kantor </t>
  </si>
  <si>
    <t xml:space="preserve">Jumlah Bangunan  Rumah Jabatan Yang Terfasilitasi Kebutuhan Instalasi Listrik/Penerangan Bangunan Kantor </t>
  </si>
  <si>
    <t>Jumlah paket peralatan dan perlengkapan kantor yang dilaksanakan</t>
  </si>
  <si>
    <t>Jumlah paket peralatan rumah tangga yang dilaksanakan</t>
  </si>
  <si>
    <t>Jumlah acara yang terfasilitasi perlengkapannya</t>
  </si>
  <si>
    <t>Jumlah jenis acara dalam kegiatan Peringatan Hari-Hari Besar</t>
  </si>
  <si>
    <t>Jumlah Pegawai yang terfasilitasi dalam kunjungan kerja dalam daerah</t>
  </si>
  <si>
    <t>Jumlah kegiatan rapat-rapat koordinasi dan konsultasi Kada, Wakada dan Pegawai yang terfasilitasi</t>
  </si>
  <si>
    <t>Jumlah paket mebeleur yang dilaksanakan</t>
  </si>
  <si>
    <t xml:space="preserve">Jumlah Naskah Dinas yang dikelola </t>
  </si>
  <si>
    <t xml:space="preserve">Jumlah Personil Panitia dan Pendukung Kegiatan HUT yang terfasilirtasi </t>
  </si>
  <si>
    <t>Jumlah Kelompok Asset Tetap dalam kondisi baik</t>
  </si>
  <si>
    <t>Jumlah kendaraan dinas/operasional yang terpelihara</t>
  </si>
  <si>
    <t>Jumlah jenis mebeleur yang terpelihara</t>
  </si>
  <si>
    <t>Jumlah jenis perlengkapan Rumah Jabatan/Dinas yang terpelihara</t>
  </si>
  <si>
    <t>Jumlah jenis perlengkapan gedung kantor yang terpelihara</t>
  </si>
  <si>
    <t>Jumlah jenis peralatan Rumah Jabatan/Dinas yang terpelihara</t>
  </si>
  <si>
    <t>Jumlah jenis peralatan gedung kantor yang terpelihara</t>
  </si>
  <si>
    <t>Jumlah rumah jabatan/dinas yang terpelihara</t>
  </si>
  <si>
    <t xml:space="preserve">Jumlah penerima layanan kesehatan </t>
  </si>
  <si>
    <t xml:space="preserve">Intensitas Kebutuhan Rumah Tangga Kepala Daerah yang terpenuhi </t>
  </si>
  <si>
    <t xml:space="preserve">Intensitas Kebutuhan Rumah Tangga Wakil Kepala Daerah yang terpenuhi </t>
  </si>
  <si>
    <t>Jumlah pegawai dan tamu yang terfasilitasi Kebutuhan Rumah Tangganya</t>
  </si>
  <si>
    <t>19 Orang</t>
  </si>
  <si>
    <t>2 Orang</t>
  </si>
  <si>
    <t>7 Gedung/Kantor</t>
  </si>
  <si>
    <t>3 Rumah Jabatan</t>
  </si>
  <si>
    <t>4 Paket</t>
  </si>
  <si>
    <t>3 Paket</t>
  </si>
  <si>
    <t>10 Bagian</t>
  </si>
  <si>
    <t>1 Paket</t>
  </si>
  <si>
    <t>8.150 dokumen</t>
  </si>
  <si>
    <t>6 Jenis</t>
  </si>
  <si>
    <t>260 Orang</t>
  </si>
  <si>
    <t>6 jenis</t>
  </si>
  <si>
    <t>16 jenis</t>
  </si>
  <si>
    <t>20 jenis</t>
  </si>
  <si>
    <t>7 Bangunan Gedung</t>
  </si>
  <si>
    <t>3 Rumah Dinas/Jabatan</t>
  </si>
  <si>
    <t>4 Orang</t>
  </si>
  <si>
    <t>12 bulan</t>
  </si>
  <si>
    <t>50.000 Orang</t>
  </si>
  <si>
    <t>Prosentase dokumen Perencanaan dan Keuangan yang di susun tepat waktu</t>
  </si>
  <si>
    <t>Jumlah dokumen Rencana Strategis (Renstra) dan Rencana Kerja (Renja)</t>
  </si>
  <si>
    <t>Jumlah dokumen RKA/RKAP dan DPA/DPAP</t>
  </si>
  <si>
    <t>Jumlah dokumen Proses Bisnis</t>
  </si>
  <si>
    <t>Jumlah dokumen Cascading / Pohon Kinerja</t>
  </si>
  <si>
    <t>Jumlah dokumen Perjanjian Kinerja</t>
  </si>
  <si>
    <t>Jumlah dokumen LKj  Setda</t>
  </si>
  <si>
    <t>Jumlah dokumen laporan evaluasi Renja</t>
  </si>
  <si>
    <t>Jumlah dokumen laporan keuangan sekretariat daerah</t>
  </si>
  <si>
    <t>Jumlah Laporan Capaian Kinerja Setda</t>
  </si>
  <si>
    <t>Jumlah dokumen SPM yang dibuat</t>
  </si>
  <si>
    <t>Jumlah Kepala Daerah dan Wakil Kepala Daerah yang menerima gaji dan tunjangan</t>
  </si>
  <si>
    <t>4 Laporan</t>
  </si>
  <si>
    <t>5700 Dokumen</t>
  </si>
  <si>
    <t>1300 Dokumen</t>
  </si>
  <si>
    <t>Jumlah Perangkat Daerah yang difsilitasi penyusunan Laporan Kinerja (LKj)</t>
  </si>
  <si>
    <t>Jumlah Perangkat Daerah yang difasilitasi penyusunan perjanjian kinerja</t>
  </si>
  <si>
    <t>Jumlah unit Pelayanan yang melaksanakan Survey Kepuasan Masyarakat (SKM)</t>
  </si>
  <si>
    <t>Prosentase Perangkat Daerah yang menyusun SPP dan SOP</t>
  </si>
  <si>
    <t>Prosentase Perangkat Daerah yang memiliki Kelompok Budaya Kerja (KBK)</t>
  </si>
  <si>
    <t>Prosentase usulan perubahan penataan kelembagaan yang ditindaklanjuti menjadi Peraturan Bupati</t>
  </si>
  <si>
    <t>Persentase Perangkat Daerah yang dilakukan Evaluasi Jabatan</t>
  </si>
  <si>
    <t>Jumlah inovasi yang masuk nominasi Top 25 Kovablik Provinsi Jawa Timur</t>
  </si>
  <si>
    <t>47 Perangkat Daerah</t>
  </si>
  <si>
    <t>80%</t>
  </si>
  <si>
    <t>50%</t>
  </si>
  <si>
    <t>100%</t>
  </si>
  <si>
    <t>1 Inovasi</t>
  </si>
  <si>
    <t>Nilai survey kepuasan masyarakat pelayanan keprotokolan,komunikasi pimpininan dan dokumentasi pimpinan</t>
  </si>
  <si>
    <t>Jumlah hasil koordinasi yang dijadikan bahan pelaksanaan kegiatan</t>
  </si>
  <si>
    <t>Jumlah dokumen informasi perkembangan pemerintahan</t>
  </si>
  <si>
    <t>Jumlah dokumen peliputan kegiatan pimpinan daerah</t>
  </si>
  <si>
    <t>15 dokumen</t>
  </si>
  <si>
    <t>10 orang</t>
  </si>
  <si>
    <t>4 Gedung/Kantor</t>
  </si>
  <si>
    <t>64 kegiatan</t>
  </si>
  <si>
    <t>15 unit</t>
  </si>
  <si>
    <t>3 bulan</t>
  </si>
  <si>
    <t>7 pasar dan gudang</t>
  </si>
  <si>
    <t>II</t>
  </si>
  <si>
    <t>2 BUMD</t>
  </si>
  <si>
    <t>2 rumah dinas</t>
  </si>
  <si>
    <t>374 kegiatan</t>
  </si>
  <si>
    <t>18 dokumen</t>
  </si>
  <si>
    <t>III</t>
  </si>
  <si>
    <t>166.67%</t>
  </si>
  <si>
    <t>24 skm</t>
  </si>
  <si>
    <t>422 dokumen</t>
  </si>
  <si>
    <t>IV</t>
  </si>
  <si>
    <t>2002 Dokumen</t>
  </si>
  <si>
    <t>55 Laporan</t>
  </si>
  <si>
    <t>160 Orang</t>
  </si>
  <si>
    <t>10816 dokumen</t>
  </si>
  <si>
    <t>132 operasional</t>
  </si>
  <si>
    <t>99.79</t>
  </si>
  <si>
    <t>112.5</t>
  </si>
  <si>
    <t>100.12</t>
  </si>
  <si>
    <t>99.17%</t>
  </si>
  <si>
    <t>87.01%</t>
  </si>
  <si>
    <t>95.93 %</t>
  </si>
  <si>
    <t>93.06%</t>
  </si>
  <si>
    <t>98.15%</t>
  </si>
  <si>
    <t xml:space="preserve">Prosentase Perangkat Daerah yang melaporkan data capaian kinerja untuk penyusunan LPPD teapat waktu </t>
  </si>
  <si>
    <t>Prosentase  kegiatan keagamaan dan kemasyarakatan  yang difasilitasi</t>
  </si>
  <si>
    <t>Prosentase Produk Hukum daerah yang tidak bertentangan dengan peraturan  perundang undangan</t>
  </si>
  <si>
    <t>Pengendalian Infalsi Daerah</t>
  </si>
  <si>
    <t>Cakupan  Layanan Pengadaan barang dan Jasa secara elektronik ( e- procurement ) melalui LPSE</t>
  </si>
  <si>
    <t xml:space="preserve">Target Renstra Perangkat Daerah pada Tahun 2026 </t>
  </si>
  <si>
    <t>Meningkatnya kinerja penyelenggaraan pemerintah dan Fasilitasi Kehidupan bermasyarakat</t>
  </si>
  <si>
    <t>Meningkatnya Stabilitas perekonomiandan transparansi efektifitas serta efisiensi pengadaan barang dan jasa</t>
  </si>
  <si>
    <t xml:space="preserve">Meningkatnya akuntabilitas kinerja dan kualitas layanan publik </t>
  </si>
  <si>
    <t>Fasilitas Kerumahtanggaan Sekretariat Daerah</t>
  </si>
  <si>
    <t>Penyedian Gaji dan Tunjangan ASN</t>
  </si>
  <si>
    <t>Jumlah ASN yang menerima Gaji dan Tunjangan</t>
  </si>
  <si>
    <t>2060 ASN</t>
  </si>
  <si>
    <t>Kegiatan Pelaksanaan Kebijakan Kesejahteraan Rakyat</t>
  </si>
  <si>
    <t>Prosentase koordinasi dan isu strategis kerukunan antar umat beragama yang ditindaklanjuti</t>
  </si>
  <si>
    <t>Bagian Administrasi Kesejahteraan Rakyat dan Kemasyarakatan</t>
  </si>
  <si>
    <t>Fasilitasi Pengelolaan Bina Mental Spiritual</t>
  </si>
  <si>
    <t>Jumlah peserta yang mengikuti MTQ</t>
  </si>
  <si>
    <t>180 peserta</t>
  </si>
  <si>
    <t>Jumlah peserta bintek peningkatan kapasitas dan kapabilitas mubaliq</t>
  </si>
  <si>
    <t>500 peserta</t>
  </si>
  <si>
    <t>548 peserta</t>
  </si>
  <si>
    <t>Jumlah Masjid penerima bantuan operasional</t>
  </si>
  <si>
    <t>13 masjid</t>
  </si>
  <si>
    <t>Jumlah Rangkaian kegiatan peringatan hari raya idul fitri</t>
  </si>
  <si>
    <t>9 penyelenggaran</t>
  </si>
  <si>
    <t>Pelaksanaan Kebijakan, Evaluasi dan Capaian Kinerja terkait Kesejahteraan Sosial</t>
  </si>
  <si>
    <t>Jumlah penerima bantuan sosial masyarakat</t>
  </si>
  <si>
    <t>261 orang</t>
  </si>
  <si>
    <t>Pelaksanaan Kebijakan, Evaluasi dan Capaian Kinerja terkait Kesejahteraan Masyarakat</t>
  </si>
  <si>
    <t>Jumlah penyelenggaraan hari besar nasional dan keagamaan</t>
  </si>
  <si>
    <t>Jumlah Jamaah haji yang tervasilitasi pemberangkatan dan pemulangan</t>
  </si>
  <si>
    <t>550 jamaah</t>
  </si>
  <si>
    <t>44,44%</t>
  </si>
  <si>
    <t>62 paket</t>
  </si>
  <si>
    <t>92,17</t>
  </si>
  <si>
    <t>8 Paket</t>
  </si>
  <si>
    <t>4 Kolompok Asset Tetap</t>
  </si>
  <si>
    <t>2 Rumah Dinas</t>
  </si>
  <si>
    <t>45 Orang</t>
  </si>
  <si>
    <t>2 Laporan</t>
  </si>
  <si>
    <t>3 dokumen</t>
  </si>
  <si>
    <t>47 perangkat daerah</t>
  </si>
  <si>
    <t>5 paket</t>
  </si>
  <si>
    <t>335 Dokumen</t>
  </si>
  <si>
    <t>335  Dokumen</t>
  </si>
  <si>
    <t>94,19%</t>
  </si>
  <si>
    <t>88 Orang</t>
  </si>
  <si>
    <t>2 jenis</t>
  </si>
  <si>
    <t>3 jenis</t>
  </si>
  <si>
    <t>1 Bangunan Gedung</t>
  </si>
  <si>
    <t>1 Rumah Dinas/Jabatan</t>
  </si>
  <si>
    <t>3 BUMD</t>
  </si>
  <si>
    <t>10 lokasi</t>
  </si>
  <si>
    <t>103 Unit Pelayanan</t>
  </si>
  <si>
    <t>14 Inovasi</t>
  </si>
  <si>
    <t xml:space="preserve"> Bagian Pengadaan Barang dan Jasa (2020)</t>
  </si>
  <si>
    <t>Penyediaan Gaji dan Tunjangan Kepala Daerah dan Wakil Kepala Daerah</t>
  </si>
  <si>
    <t>0 dokumen</t>
  </si>
  <si>
    <t>5  BUMD</t>
  </si>
  <si>
    <t>7 pasar / 3 gudang</t>
  </si>
  <si>
    <t>4 kelompok</t>
  </si>
  <si>
    <t>Jumlah Bagian di Lingkup Setda yang Terfasilitasi makan minumnya</t>
  </si>
  <si>
    <t>259 orang</t>
  </si>
  <si>
    <t>115 ASN%</t>
  </si>
  <si>
    <t>2 MOU</t>
  </si>
  <si>
    <t>10 unit</t>
  </si>
  <si>
    <t>12 jenis</t>
  </si>
  <si>
    <t>13 jenis</t>
  </si>
  <si>
    <t>33 jenis</t>
  </si>
  <si>
    <t>5 Bangunan Gedung</t>
  </si>
  <si>
    <t>6 Bangunan Gedung</t>
  </si>
  <si>
    <t>13 Bangunan Gedung</t>
  </si>
  <si>
    <t>5 rumah dinas</t>
  </si>
  <si>
    <t>4 orang</t>
  </si>
  <si>
    <t>48 orang</t>
  </si>
  <si>
    <t>15 bulan%</t>
  </si>
  <si>
    <t>15 bulan</t>
  </si>
  <si>
    <t>6 laporan</t>
  </si>
  <si>
    <t>573 ASN</t>
  </si>
  <si>
    <t>2647 ASN</t>
  </si>
  <si>
    <t>3 Dokumen</t>
  </si>
  <si>
    <t>S</t>
  </si>
  <si>
    <t>150 peserta</t>
  </si>
  <si>
    <t>50000 orang</t>
  </si>
  <si>
    <t>Jumlah Bagian di Lingkup Setda yang Terfasilitasi Kebutuhan ATK, Cetakan dan Penggandaannya</t>
  </si>
  <si>
    <t>5 jenis</t>
  </si>
  <si>
    <t>4 laporan</t>
  </si>
  <si>
    <t xml:space="preserve">Realisasi Capaian Kinerja dan Anggaran Renja Perangkat Daerah yang dievaluasi Tahun 2023
</t>
  </si>
  <si>
    <t>Realisasi Kinerja dan Anggaran Renstra Perangkat Daerah s/d Tahun 2023</t>
  </si>
  <si>
    <t>Tingkat Capaian Kinerja dan Realisasi Anggaran Renstra Perangkat Daerah s/d Tahun 2023 (%)</t>
  </si>
  <si>
    <t>3 doku</t>
  </si>
  <si>
    <t>Jumlah kegiatan pembinaan Anggota  Korsik Bahana Praja Kab Ponorogo</t>
  </si>
  <si>
    <t>Jumlah kegiatan pembinaan Anggota Paduan Suara Gita Swara Praja Pemkab. Ponorogo</t>
  </si>
  <si>
    <t>Jumlah kegiatan upacara yang didukung dengan iringan musik Korps Musik Bahana Praja</t>
  </si>
  <si>
    <t>Jumlah kegiatan upacara yang didukung dengan iringan Paduan Suara Gita Swara Praja</t>
  </si>
  <si>
    <t>12 kegiatan</t>
  </si>
  <si>
    <t>15 kegiatan</t>
  </si>
  <si>
    <t>3 kegiatan</t>
  </si>
  <si>
    <t>635 dokumen</t>
  </si>
  <si>
    <t>90 orang</t>
  </si>
  <si>
    <t>4 orng</t>
  </si>
  <si>
    <t>307  Dokumen</t>
  </si>
  <si>
    <t>3913 dokumen</t>
  </si>
  <si>
    <t>8 orang</t>
  </si>
  <si>
    <t xml:space="preserve"> SEKRETARIS DAERAH</t>
  </si>
  <si>
    <t>Dr. Drs. H. AGUS PRAMONO, M.M.</t>
  </si>
  <si>
    <t>Periode Pelaksanaan : 2024</t>
  </si>
  <si>
    <t>Realisasi Capaian Kinerja Renstra Perangkat Daerah sampai dengan Renja Perangkat Daerah Tahun 2023</t>
  </si>
  <si>
    <t xml:space="preserve">Target Kinerja dan Anggaran Renja Perangkat Daerah Tahun 2024 yang dievaluasi
</t>
  </si>
  <si>
    <t xml:space="preserve">Koordinasi, Sinkronisasi dan Evaluasi Kebijakan Pertanian,Pangan,kehutanan, kelautan dan perikanan, </t>
  </si>
  <si>
    <t>10 perangkat daerah</t>
  </si>
  <si>
    <t>259 orang/3 paket</t>
  </si>
  <si>
    <t>12 cara/12 laporan</t>
  </si>
  <si>
    <t>140 acara</t>
  </si>
  <si>
    <t>3 acara/3 laporan</t>
  </si>
  <si>
    <t>153 kegiatan</t>
  </si>
  <si>
    <t>1196 dokumen</t>
  </si>
  <si>
    <t>1113 dokumen</t>
  </si>
  <si>
    <t>242 kegiatan</t>
  </si>
  <si>
    <t>25950 Orang/35 paket</t>
  </si>
  <si>
    <t>23750 Orang/40 paket</t>
  </si>
  <si>
    <t>737 ASN</t>
  </si>
  <si>
    <t>98 kegiatan</t>
  </si>
  <si>
    <t>140 kegiatan</t>
  </si>
  <si>
    <t>140 dokumen</t>
  </si>
  <si>
    <t>Realisasi Kinerja Pada Triwulan</t>
  </si>
  <si>
    <t>1310 dokumen</t>
  </si>
  <si>
    <t>50 laporan</t>
  </si>
  <si>
    <t>436 Dokumen</t>
  </si>
  <si>
    <t>9 Laporan</t>
  </si>
  <si>
    <t>179 Dokumen</t>
  </si>
  <si>
    <t>11 Laporan</t>
  </si>
  <si>
    <t>1251 dokumen</t>
  </si>
  <si>
    <t>179 dokumen</t>
  </si>
  <si>
    <t>26 peserta</t>
  </si>
  <si>
    <t>3 masjid</t>
  </si>
  <si>
    <t>50 masjid</t>
  </si>
  <si>
    <t>Jumlah  kegiatan santunan yatim piatu</t>
  </si>
  <si>
    <t>150 orang%</t>
  </si>
  <si>
    <t>95 orang</t>
  </si>
  <si>
    <t>70 orang</t>
  </si>
  <si>
    <t>300 orang</t>
  </si>
  <si>
    <t>Jumlah proposal hibah yang diverifikasi dan dimonitor tepat waktu</t>
  </si>
  <si>
    <t>130 lembaga</t>
  </si>
  <si>
    <t>122 lembaga</t>
  </si>
  <si>
    <t>4 lembaga</t>
  </si>
  <si>
    <t>92 orang</t>
  </si>
  <si>
    <t>3 lembaga</t>
  </si>
  <si>
    <t>158 orang</t>
  </si>
  <si>
    <t>Jumlah peserta yang mengikuti bimtek</t>
  </si>
  <si>
    <t>21 orang</t>
  </si>
  <si>
    <t>675 jamaah</t>
  </si>
  <si>
    <t>699 jamaah</t>
  </si>
  <si>
    <t>1 penyelenggaraan</t>
  </si>
  <si>
    <t>624 jamaah</t>
  </si>
  <si>
    <t>Jumlah penyelenggaraan simaan dan dzikrul ghofilin</t>
  </si>
  <si>
    <t>4 penyelenggaraan</t>
  </si>
  <si>
    <t>3 penyelenggaraan</t>
  </si>
  <si>
    <t>Faktor pendorong keberhasilan kinerja : Target dan arah tujuan kinerja selaras dengan renstra dan renja yang telah ditetapkan</t>
  </si>
  <si>
    <t>Faktor penghambat pencapaian kinerja : kurangnya anggaran pada sub kegiatan tertentu sehingga target yang telah ditetapkan tidak dapat dilaksanakan secara maksimal dan kurang disiplinnya pemegang kegiatan melaksanakan pencapaian target kinerja  sesuai termin waktu yang telah ditetapkan</t>
  </si>
  <si>
    <t>Tindak lanjut yang diperlukan dalam triwulan berikutnya : melakukan koordinasi lintas  bagian dilingkup Sekretariat Daerah</t>
  </si>
  <si>
    <t>Tindak lanjut yang diperlukan dalam RKPD berikutnya : Melakukan permintaan penambahan anggaran untuk optimalisasi pencaipan target dan realisasi kinerja</t>
  </si>
  <si>
    <t>238 kegiatan</t>
  </si>
  <si>
    <t>238 dokumen</t>
  </si>
  <si>
    <t>660 kegiatan</t>
  </si>
  <si>
    <t>660 dokumen</t>
  </si>
  <si>
    <t>660 kegaiatan</t>
  </si>
  <si>
    <t>4 dokumen%</t>
  </si>
  <si>
    <t>Merumuskan isu isu kebijakan ke dalam rumusan masalah kebikjakan</t>
  </si>
  <si>
    <t>Jumlah dokumen bahan pemantauan dan evaluasi pelaksanaan kegiatan dikelurahan</t>
  </si>
  <si>
    <t>Jumlah dokumen kecamatan terkait program sinergitas kecamatan</t>
  </si>
  <si>
    <t>26 Dokumen</t>
  </si>
  <si>
    <t>35 Dokumen</t>
  </si>
  <si>
    <t>Menyediakan informasi terkait perumusan masalah kebijakan</t>
  </si>
  <si>
    <t>Jumlah dokumen LKPJ &amp; LPPD</t>
  </si>
  <si>
    <t>2Dokumen</t>
  </si>
  <si>
    <t>307 Dokumen</t>
  </si>
  <si>
    <t>615 Dokumen</t>
  </si>
  <si>
    <t>2617 Dokumen</t>
  </si>
  <si>
    <t>20 Laporan</t>
  </si>
  <si>
    <t>75  Laporan</t>
  </si>
  <si>
    <t>360 peserta</t>
  </si>
  <si>
    <t>18 masjid</t>
  </si>
  <si>
    <t>160 orang</t>
  </si>
  <si>
    <t>9 kegiatan</t>
  </si>
  <si>
    <t>9 pkegiatan</t>
  </si>
  <si>
    <t>6 kegiatan</t>
  </si>
  <si>
    <t>250 orang</t>
  </si>
  <si>
    <t>511 orang</t>
  </si>
  <si>
    <t>6 lembaga</t>
  </si>
  <si>
    <t>128 lembaga</t>
  </si>
  <si>
    <t>10 penyelenggaraan</t>
  </si>
  <si>
    <t>1229 jamaah</t>
  </si>
  <si>
    <t>6 penyelenggaraan</t>
  </si>
  <si>
    <t>6 penyenggaraan</t>
  </si>
  <si>
    <t>8 perangkat daerah</t>
  </si>
  <si>
    <t>10 Paket</t>
  </si>
  <si>
    <t>72 paket</t>
  </si>
  <si>
    <t>25 penyedia</t>
  </si>
  <si>
    <t>103 paket</t>
  </si>
  <si>
    <t>18 kegiatan</t>
  </si>
  <si>
    <t>21 kegiatan</t>
  </si>
  <si>
    <t>1313 ASN</t>
  </si>
  <si>
    <t>3957 ASN</t>
  </si>
  <si>
    <t>3190 Dokumen</t>
  </si>
  <si>
    <t>4160 dokumen</t>
  </si>
  <si>
    <t>92 Orang</t>
  </si>
  <si>
    <t>152 orang</t>
  </si>
  <si>
    <t>2 Paket</t>
  </si>
  <si>
    <t>6 paket</t>
  </si>
  <si>
    <t>2 paket</t>
  </si>
  <si>
    <t>1 paket</t>
  </si>
  <si>
    <t>9 paket</t>
  </si>
  <si>
    <t>518 orang/6 paket</t>
  </si>
  <si>
    <t>5518 orang</t>
  </si>
  <si>
    <t>20 Bagian</t>
  </si>
  <si>
    <t>6 acara</t>
  </si>
  <si>
    <t>146 acara</t>
  </si>
  <si>
    <t>449 kegiatan%</t>
  </si>
  <si>
    <t>14729 dokumen%</t>
  </si>
  <si>
    <t>12 Jenis</t>
  </si>
  <si>
    <t>68 unit</t>
  </si>
  <si>
    <t>32 jenis</t>
  </si>
  <si>
    <t>326 dokumen</t>
  </si>
  <si>
    <t>11 laporan</t>
  </si>
  <si>
    <t>182 dokumen</t>
  </si>
  <si>
    <t>10 opd</t>
  </si>
  <si>
    <t>10 opd%</t>
  </si>
  <si>
    <t>486 ASN</t>
  </si>
  <si>
    <t>544 dokumen</t>
  </si>
  <si>
    <t>177 kegiatan</t>
  </si>
  <si>
    <t>5 kegiatan</t>
  </si>
  <si>
    <t>388 orang</t>
  </si>
  <si>
    <t>30 acara</t>
  </si>
  <si>
    <t>233 kegiatan</t>
  </si>
  <si>
    <t>1292 dokumen</t>
  </si>
  <si>
    <t>30 operasional</t>
  </si>
  <si>
    <t>300 orang%</t>
  </si>
  <si>
    <t>20 unit</t>
  </si>
  <si>
    <t>4 jenis</t>
  </si>
  <si>
    <t>8 jenis</t>
  </si>
  <si>
    <t>30000 orang</t>
  </si>
  <si>
    <t>25 peserta</t>
  </si>
  <si>
    <t>75 orangt</t>
  </si>
  <si>
    <t>23 orang</t>
  </si>
  <si>
    <t>18 peserta</t>
  </si>
  <si>
    <t>191 dokmen</t>
  </si>
  <si>
    <t>8 laporan</t>
  </si>
  <si>
    <t>191 dokumen</t>
  </si>
  <si>
    <t>7 masjid</t>
  </si>
  <si>
    <t>100 orang</t>
  </si>
  <si>
    <t>335 orang</t>
  </si>
  <si>
    <t>9 lembaga</t>
  </si>
  <si>
    <t>62 orang</t>
  </si>
  <si>
    <t>9 penyelenggaraan</t>
  </si>
  <si>
    <t>555 keg</t>
  </si>
  <si>
    <t>761 dok</t>
  </si>
  <si>
    <t>2275 dokumen</t>
  </si>
  <si>
    <t>305 kegiatan</t>
  </si>
  <si>
    <t>180 ASN</t>
  </si>
  <si>
    <t>939 kegiatan</t>
  </si>
  <si>
    <t>1273 dok</t>
  </si>
  <si>
    <t>45 unit</t>
  </si>
  <si>
    <t>25750 orang/50 paket</t>
  </si>
  <si>
    <t>105140 orang</t>
  </si>
  <si>
    <t>Ponorogo, 9 Januari2025</t>
  </si>
  <si>
    <t>988 Dokumen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</si>
</sst>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_);_(* \(#,##0\);_(* &quot;-&quot;_);_(@_)"/>
    <numFmt numFmtId="165" formatCode="_(* #,##0.00_);_(* \(#,##0.00\);_(* &quot;-&quot;??_);_(@_)"/>
    <numFmt numFmtId="166" formatCode="_(* #,##0_);_(* \(#,##0\);_(* &quot;-&quot;??_);_(@_)"/>
    <numFmt numFmtId="167" formatCode="_(* #,##0.0_);_(* \(#,##0.0\);_(* &quot;-&quot;??_);_(@_)"/>
  </numFmts>
  <fonts count="34"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8"/>
      <color theme="1"/>
      <name val="Calibri"/>
      <family val="2"/>
      <scheme val="minor"/>
    </font>
    <font>
      <sz val="11"/>
      <color theme="1"/>
      <name val="Calibri"/>
      <family val="2"/>
      <charset val="1"/>
      <scheme val="minor"/>
    </font>
    <font>
      <sz val="11"/>
      <name val="Calibri"/>
      <family val="2"/>
      <charset val="1"/>
      <scheme val="minor"/>
    </font>
    <font>
      <sz val="12"/>
      <color theme="1"/>
      <name val="Calibri"/>
      <family val="2"/>
      <charset val="1"/>
      <scheme val="minor"/>
    </font>
    <font>
      <b/>
      <sz val="11"/>
      <color theme="1"/>
      <name val="Calibri"/>
      <family val="2"/>
      <scheme val="minor"/>
    </font>
    <font>
      <sz val="11"/>
      <color theme="1"/>
      <name val="Arial"/>
      <family val="2"/>
    </font>
    <font>
      <sz val="11"/>
      <name val="Arial"/>
      <family val="2"/>
    </font>
    <font>
      <b/>
      <sz val="11"/>
      <name val="Arial"/>
      <family val="2"/>
    </font>
    <font>
      <sz val="11"/>
      <name val="Tahoma"/>
      <family val="2"/>
    </font>
    <font>
      <sz val="11"/>
      <color rgb="FFFF0000"/>
      <name val="Arial"/>
      <family val="2"/>
    </font>
    <font>
      <sz val="10"/>
      <name val="Arial"/>
      <family val="2"/>
    </font>
    <font>
      <sz val="11"/>
      <color theme="3"/>
      <name val="Arial"/>
      <family val="2"/>
    </font>
    <font>
      <i/>
      <sz val="11"/>
      <color theme="3"/>
      <name val="Arial"/>
      <family val="2"/>
    </font>
    <font>
      <i/>
      <sz val="11"/>
      <name val="Arial"/>
      <family val="2"/>
    </font>
    <font>
      <sz val="11"/>
      <color theme="0"/>
      <name val="Calibri"/>
      <family val="2"/>
      <charset val="1"/>
      <scheme val="minor"/>
    </font>
    <font>
      <sz val="11"/>
      <color rgb="FF000000"/>
      <name val="Calibri"/>
      <family val="2"/>
      <scheme val="minor"/>
    </font>
    <font>
      <u/>
      <sz val="12"/>
      <color indexed="8"/>
      <name val="Arial"/>
      <family val="2"/>
    </font>
    <font>
      <sz val="11"/>
      <color rgb="FF00B050"/>
      <name val="Arial"/>
      <family val="2"/>
    </font>
    <font>
      <b/>
      <sz val="11"/>
      <color rgb="FF00B050"/>
      <name val="Arial"/>
      <family val="2"/>
    </font>
    <font>
      <sz val="10"/>
      <color theme="1"/>
      <name val="Arial"/>
      <family val="2"/>
    </font>
    <font>
      <b/>
      <sz val="10"/>
      <name val="Arial"/>
      <family val="2"/>
    </font>
    <font>
      <sz val="8"/>
      <name val="Arial"/>
      <family val="2"/>
    </font>
    <font>
      <sz val="8"/>
      <name val="Calibri"/>
      <family val="2"/>
      <charset val="1"/>
      <scheme val="minor"/>
    </font>
    <font>
      <sz val="11"/>
      <color rgb="FFFF0000"/>
      <name val="Calibri"/>
      <family val="2"/>
      <charset val="1"/>
      <scheme val="minor"/>
    </font>
    <font>
      <b/>
      <sz val="9"/>
      <name val="Arial"/>
      <family val="2"/>
    </font>
    <font>
      <b/>
      <sz val="11"/>
      <color theme="0"/>
      <name val="Arial"/>
      <family val="2"/>
    </font>
    <font>
      <b/>
      <sz val="12"/>
      <color theme="1"/>
      <name val="Calibri"/>
      <family val="2"/>
      <scheme val="minor"/>
    </font>
    <font>
      <b/>
      <u/>
      <sz val="12"/>
      <color indexed="8"/>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indexed="64"/>
      </bottom>
      <diagonal/>
    </border>
  </borders>
  <cellStyleXfs count="10">
    <xf numFmtId="0" fontId="0" fillId="0" borderId="0"/>
    <xf numFmtId="41" fontId="6" fillId="0" borderId="0" applyFont="0" applyFill="0" applyBorder="0" applyAlignment="0" applyProtection="0"/>
    <xf numFmtId="165" fontId="6" fillId="0" borderId="0" applyFont="0" applyFill="0" applyBorder="0" applyAlignment="0" applyProtection="0"/>
    <xf numFmtId="0" fontId="15" fillId="0" borderId="0"/>
    <xf numFmtId="0" fontId="3" fillId="0" borderId="0"/>
    <xf numFmtId="9" fontId="6" fillId="0" borderId="0" applyFont="0" applyFill="0" applyBorder="0" applyAlignment="0" applyProtection="0"/>
    <xf numFmtId="0" fontId="1" fillId="0" borderId="0"/>
    <xf numFmtId="0" fontId="1" fillId="0" borderId="0"/>
    <xf numFmtId="0" fontId="1" fillId="0" borderId="0"/>
    <xf numFmtId="0" fontId="15" fillId="0" borderId="0"/>
  </cellStyleXfs>
  <cellXfs count="59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xf>
    <xf numFmtId="0" fontId="0" fillId="0" borderId="0" xfId="0" applyAlignment="1">
      <alignment vertical="top"/>
    </xf>
    <xf numFmtId="0" fontId="8" fillId="0" borderId="0" xfId="0" applyFont="1" applyAlignment="1">
      <alignment vertical="top"/>
    </xf>
    <xf numFmtId="0" fontId="8" fillId="0" borderId="0" xfId="0" applyFont="1" applyAlignment="1">
      <alignment horizontal="center" vertical="top"/>
    </xf>
    <xf numFmtId="0" fontId="11" fillId="0" borderId="4" xfId="0" applyFont="1" applyBorder="1" applyAlignment="1">
      <alignment horizontal="left" vertical="top" wrapText="1"/>
    </xf>
    <xf numFmtId="0" fontId="10" fillId="0" borderId="8" xfId="0" applyFont="1" applyBorder="1" applyAlignment="1">
      <alignment horizontal="left" vertical="top" wrapText="1"/>
    </xf>
    <xf numFmtId="0" fontId="10" fillId="0" borderId="16" xfId="0" applyFont="1" applyBorder="1" applyAlignment="1">
      <alignment horizontal="left" vertical="top" wrapText="1"/>
    </xf>
    <xf numFmtId="0" fontId="10" fillId="0" borderId="12" xfId="0" applyFont="1" applyBorder="1" applyAlignment="1">
      <alignment vertical="top" wrapText="1"/>
    </xf>
    <xf numFmtId="0" fontId="10" fillId="0" borderId="12" xfId="0" applyFont="1" applyBorder="1"/>
    <xf numFmtId="0" fontId="0" fillId="0" borderId="15" xfId="0" applyBorder="1" applyAlignment="1">
      <alignment horizontal="center" vertical="center"/>
    </xf>
    <xf numFmtId="0" fontId="10" fillId="0" borderId="14" xfId="0" applyFont="1" applyBorder="1" applyAlignment="1">
      <alignment horizontal="center" vertical="center"/>
    </xf>
    <xf numFmtId="9" fontId="0" fillId="0" borderId="1" xfId="0" applyNumberFormat="1" applyBorder="1" applyAlignment="1">
      <alignment horizontal="center" vertical="center"/>
    </xf>
    <xf numFmtId="0" fontId="10" fillId="0" borderId="8" xfId="0" applyFont="1" applyBorder="1" applyAlignment="1">
      <alignment vertical="top" wrapText="1"/>
    </xf>
    <xf numFmtId="165" fontId="0" fillId="0" borderId="0" xfId="2" applyFont="1"/>
    <xf numFmtId="9" fontId="2" fillId="0" borderId="0" xfId="0" applyNumberFormat="1" applyFont="1" applyAlignment="1">
      <alignment horizontal="center"/>
    </xf>
    <xf numFmtId="0" fontId="21" fillId="0" borderId="0" xfId="0" applyFont="1" applyAlignment="1">
      <alignment horizontal="center" vertical="top"/>
    </xf>
    <xf numFmtId="0" fontId="0" fillId="0" borderId="12" xfId="0" applyBorder="1" applyAlignment="1">
      <alignment horizontal="center"/>
    </xf>
    <xf numFmtId="0" fontId="0" fillId="0" borderId="17" xfId="0" applyBorder="1"/>
    <xf numFmtId="0" fontId="0" fillId="0" borderId="3" xfId="0" applyBorder="1"/>
    <xf numFmtId="0" fontId="0" fillId="0" borderId="4" xfId="0" applyBorder="1"/>
    <xf numFmtId="0" fontId="9" fillId="0" borderId="2" xfId="0" applyFont="1" applyBorder="1"/>
    <xf numFmtId="0" fontId="0" fillId="0" borderId="1" xfId="0" applyBorder="1" applyAlignment="1">
      <alignment horizontal="center" vertical="top"/>
    </xf>
    <xf numFmtId="0" fontId="20" fillId="0" borderId="1" xfId="0" applyFont="1" applyBorder="1" applyAlignment="1">
      <alignment horizontal="left" vertical="top" wrapText="1"/>
    </xf>
    <xf numFmtId="9" fontId="20"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20" fillId="0" borderId="1" xfId="0" applyFont="1" applyBorder="1" applyAlignment="1">
      <alignment horizontal="left" wrapText="1"/>
    </xf>
    <xf numFmtId="0" fontId="20" fillId="0" borderId="1" xfId="0" applyFont="1" applyBorder="1" applyAlignment="1">
      <alignment horizontal="center" vertical="center"/>
    </xf>
    <xf numFmtId="0" fontId="0" fillId="0" borderId="5" xfId="0" applyBorder="1"/>
    <xf numFmtId="0" fontId="9" fillId="0" borderId="22" xfId="0" applyFont="1" applyBorder="1"/>
    <xf numFmtId="0" fontId="9" fillId="0" borderId="6" xfId="0" applyFont="1" applyBorder="1"/>
    <xf numFmtId="0" fontId="9" fillId="0" borderId="1" xfId="0" applyFont="1" applyBorder="1" applyAlignment="1">
      <alignment horizontal="center" vertical="center"/>
    </xf>
    <xf numFmtId="0" fontId="0" fillId="0" borderId="0" xfId="0" applyAlignment="1">
      <alignment vertical="center"/>
    </xf>
    <xf numFmtId="0" fontId="13" fillId="0" borderId="0" xfId="0" applyFont="1" applyAlignment="1">
      <alignment horizontal="center" vertical="top"/>
    </xf>
    <xf numFmtId="3" fontId="7" fillId="0" borderId="0" xfId="0" applyNumberFormat="1" applyFont="1" applyAlignment="1">
      <alignment horizontal="center" vertical="center"/>
    </xf>
    <xf numFmtId="0" fontId="7" fillId="0" borderId="0" xfId="0" applyFont="1" applyAlignment="1">
      <alignment horizontal="center" vertical="center"/>
    </xf>
    <xf numFmtId="165" fontId="19" fillId="0" borderId="0" xfId="0" applyNumberFormat="1" applyFont="1" applyAlignment="1">
      <alignment horizontal="center" vertical="center"/>
    </xf>
    <xf numFmtId="9" fontId="7" fillId="0" borderId="0" xfId="0" applyNumberFormat="1" applyFont="1" applyAlignment="1">
      <alignment horizontal="center" vertical="center"/>
    </xf>
    <xf numFmtId="166" fontId="7" fillId="0" borderId="0" xfId="2"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xf numFmtId="0" fontId="13" fillId="0" borderId="0" xfId="0" applyFont="1" applyAlignment="1">
      <alignment vertical="top" wrapText="1"/>
    </xf>
    <xf numFmtId="0" fontId="13" fillId="0" borderId="0" xfId="0" applyFont="1" applyAlignment="1">
      <alignment horizontal="center" vertical="top" wrapText="1"/>
    </xf>
    <xf numFmtId="3" fontId="13" fillId="0" borderId="0" xfId="0" applyNumberFormat="1" applyFont="1" applyAlignment="1">
      <alignment horizontal="center" vertical="center"/>
    </xf>
    <xf numFmtId="3" fontId="7" fillId="0" borderId="0" xfId="0" applyNumberFormat="1" applyFont="1" applyAlignment="1">
      <alignment horizontal="center" vertical="top"/>
    </xf>
    <xf numFmtId="9" fontId="0" fillId="0" borderId="0" xfId="5" applyFont="1"/>
    <xf numFmtId="0" fontId="20" fillId="0" borderId="0" xfId="0" applyFont="1" applyAlignment="1">
      <alignment horizontal="left"/>
    </xf>
    <xf numFmtId="0" fontId="4" fillId="0" borderId="0" xfId="0" applyFont="1" applyAlignment="1">
      <alignment horizontal="center"/>
    </xf>
    <xf numFmtId="41" fontId="0" fillId="0" borderId="0" xfId="0" applyNumberFormat="1"/>
    <xf numFmtId="166" fontId="0" fillId="0" borderId="0" xfId="2" applyNumberFormat="1" applyFont="1"/>
    <xf numFmtId="3" fontId="11" fillId="0" borderId="12" xfId="2" applyNumberFormat="1" applyFont="1" applyFill="1" applyBorder="1" applyAlignment="1" applyProtection="1">
      <alignment horizontal="center" vertical="center" wrapText="1"/>
      <protection locked="0"/>
    </xf>
    <xf numFmtId="0" fontId="22" fillId="0" borderId="17" xfId="0" applyFont="1" applyBorder="1" applyAlignment="1">
      <alignment horizontal="center" vertical="center" wrapText="1"/>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165" fontId="10" fillId="0" borderId="2" xfId="0" applyNumberFormat="1" applyFont="1" applyBorder="1" applyAlignment="1">
      <alignment horizontal="center" vertical="center"/>
    </xf>
    <xf numFmtId="0" fontId="22" fillId="0" borderId="12" xfId="0" applyFont="1" applyBorder="1" applyAlignment="1">
      <alignment horizontal="center" vertical="center" wrapText="1"/>
    </xf>
    <xf numFmtId="0" fontId="10" fillId="0" borderId="12" xfId="0" applyFont="1" applyBorder="1" applyAlignment="1">
      <alignment horizontal="center" vertical="center"/>
    </xf>
    <xf numFmtId="0" fontId="14" fillId="0" borderId="1" xfId="0" applyFont="1" applyBorder="1" applyAlignment="1">
      <alignment horizontal="center" vertical="center"/>
    </xf>
    <xf numFmtId="0" fontId="11" fillId="0" borderId="1" xfId="0" applyFont="1" applyBorder="1" applyAlignment="1">
      <alignment horizontal="center" vertical="center"/>
    </xf>
    <xf numFmtId="9"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165" fontId="11" fillId="0" borderId="2" xfId="0" applyNumberFormat="1" applyFont="1" applyBorder="1" applyAlignment="1">
      <alignment horizontal="center" vertical="center"/>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xf>
    <xf numFmtId="9" fontId="11" fillId="0" borderId="1"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6" fillId="0" borderId="12" xfId="0" applyFont="1" applyBorder="1" applyAlignment="1">
      <alignment horizontal="left" vertical="top" wrapText="1"/>
    </xf>
    <xf numFmtId="0" fontId="14" fillId="0" borderId="1" xfId="0" applyFont="1" applyBorder="1" applyAlignment="1">
      <alignment vertical="top" wrapText="1"/>
    </xf>
    <xf numFmtId="0" fontId="11" fillId="0" borderId="12" xfId="0" applyFont="1" applyBorder="1" applyAlignment="1">
      <alignment horizontal="left" vertical="top" wrapText="1"/>
    </xf>
    <xf numFmtId="0" fontId="17" fillId="0" borderId="1" xfId="0" applyFont="1" applyBorder="1" applyAlignment="1">
      <alignment horizontal="left" vertical="top" wrapText="1"/>
    </xf>
    <xf numFmtId="0" fontId="14" fillId="0" borderId="12" xfId="0" applyFont="1" applyBorder="1" applyAlignment="1">
      <alignment vertical="top" wrapText="1"/>
    </xf>
    <xf numFmtId="0" fontId="16" fillId="0" borderId="12" xfId="0" applyFont="1" applyBorder="1" applyAlignment="1">
      <alignment vertical="top" wrapText="1"/>
    </xf>
    <xf numFmtId="0" fontId="10" fillId="0" borderId="8" xfId="0" applyFont="1" applyBorder="1"/>
    <xf numFmtId="0" fontId="11" fillId="0" borderId="12" xfId="0" applyFont="1" applyBorder="1" applyAlignment="1">
      <alignment vertical="top" wrapText="1"/>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14" fillId="0" borderId="17" xfId="0" applyFont="1" applyBorder="1"/>
    <xf numFmtId="0" fontId="11" fillId="0" borderId="12" xfId="0" applyFont="1" applyBorder="1" applyAlignment="1">
      <alignment horizontal="center" vertical="center" wrapText="1"/>
    </xf>
    <xf numFmtId="0" fontId="10" fillId="0" borderId="1" xfId="0" applyFont="1" applyBorder="1"/>
    <xf numFmtId="165" fontId="10" fillId="0" borderId="1" xfId="2" applyFont="1" applyBorder="1"/>
    <xf numFmtId="41" fontId="10" fillId="0" borderId="1" xfId="0" applyNumberFormat="1" applyFont="1" applyBorder="1"/>
    <xf numFmtId="165" fontId="11" fillId="0" borderId="1" xfId="0" applyNumberFormat="1" applyFont="1" applyBorder="1" applyAlignment="1">
      <alignment horizontal="center" vertical="top"/>
    </xf>
    <xf numFmtId="41" fontId="24" fillId="0" borderId="1" xfId="0" applyNumberFormat="1" applyFont="1" applyBorder="1"/>
    <xf numFmtId="0" fontId="23"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left"/>
    </xf>
    <xf numFmtId="9" fontId="7" fillId="0" borderId="0" xfId="0" applyNumberFormat="1" applyFont="1" applyAlignment="1">
      <alignment horizontal="center"/>
    </xf>
    <xf numFmtId="0" fontId="23" fillId="0" borderId="17" xfId="0" applyFont="1" applyBorder="1" applyAlignment="1">
      <alignment horizontal="center" vertical="top" wrapText="1"/>
    </xf>
    <xf numFmtId="0" fontId="11" fillId="0" borderId="1" xfId="0" applyFont="1" applyBorder="1" applyAlignment="1">
      <alignment horizontal="left" vertical="top" wrapText="1"/>
    </xf>
    <xf numFmtId="0" fontId="10" fillId="0" borderId="1" xfId="0" applyFont="1" applyBorder="1" applyAlignment="1">
      <alignment vertical="top" wrapText="1"/>
    </xf>
    <xf numFmtId="0" fontId="23" fillId="0" borderId="9" xfId="0" applyFont="1" applyBorder="1" applyAlignment="1">
      <alignment horizontal="center" vertical="top" wrapText="1"/>
    </xf>
    <xf numFmtId="0" fontId="10" fillId="0" borderId="2" xfId="0" applyFont="1" applyBorder="1" applyAlignment="1">
      <alignment horizontal="center" vertical="center" wrapText="1"/>
    </xf>
    <xf numFmtId="0" fontId="14" fillId="0" borderId="1" xfId="0" applyFont="1" applyBorder="1"/>
    <xf numFmtId="0" fontId="14" fillId="2" borderId="16" xfId="0" applyFont="1" applyFill="1" applyBorder="1" applyAlignment="1">
      <alignment horizontal="center" vertical="top" wrapText="1"/>
    </xf>
    <xf numFmtId="0" fontId="14" fillId="2" borderId="17" xfId="0" applyFont="1" applyFill="1" applyBorder="1" applyAlignment="1">
      <alignment horizontal="center" vertical="top" wrapText="1"/>
    </xf>
    <xf numFmtId="0" fontId="0" fillId="0" borderId="1" xfId="0" applyBorder="1" applyAlignment="1">
      <alignment horizontal="center" vertical="center" wrapText="1"/>
    </xf>
    <xf numFmtId="0" fontId="12" fillId="0" borderId="17" xfId="0" applyFont="1" applyBorder="1" applyAlignment="1">
      <alignment horizontal="center" vertical="top" wrapText="1"/>
    </xf>
    <xf numFmtId="0" fontId="12" fillId="0" borderId="4" xfId="0" applyFont="1" applyBorder="1" applyAlignment="1">
      <alignment vertical="top" wrapText="1"/>
    </xf>
    <xf numFmtId="0" fontId="12" fillId="0" borderId="17" xfId="0" applyFont="1" applyBorder="1" applyAlignment="1">
      <alignment horizontal="left" vertical="top" wrapText="1"/>
    </xf>
    <xf numFmtId="9" fontId="25" fillId="0" borderId="1" xfId="0" applyNumberFormat="1" applyFont="1" applyBorder="1" applyAlignment="1">
      <alignment horizontal="center" vertical="center"/>
    </xf>
    <xf numFmtId="9" fontId="12" fillId="0" borderId="12" xfId="0" applyNumberFormat="1" applyFont="1" applyBorder="1" applyAlignment="1">
      <alignment horizontal="center" vertical="center"/>
    </xf>
    <xf numFmtId="0" fontId="12" fillId="0" borderId="1" xfId="0" applyFont="1" applyBorder="1" applyAlignment="1">
      <alignment horizontal="center" vertical="center"/>
    </xf>
    <xf numFmtId="166" fontId="12" fillId="0" borderId="1" xfId="2" applyNumberFormat="1" applyFont="1" applyBorder="1" applyAlignment="1">
      <alignment horizontal="center" vertical="center"/>
    </xf>
    <xf numFmtId="0" fontId="11" fillId="0" borderId="16" xfId="0" applyFont="1" applyBorder="1" applyAlignment="1">
      <alignment horizontal="left" vertical="top" wrapText="1"/>
    </xf>
    <xf numFmtId="0" fontId="12" fillId="0" borderId="1" xfId="0" applyFont="1" applyBorder="1" applyAlignment="1">
      <alignment horizontal="left" vertical="top" wrapText="1"/>
    </xf>
    <xf numFmtId="166" fontId="12" fillId="0" borderId="17" xfId="2" applyNumberFormat="1" applyFont="1" applyBorder="1" applyAlignment="1">
      <alignment horizontal="center" vertical="center"/>
    </xf>
    <xf numFmtId="10" fontId="12" fillId="0" borderId="1" xfId="0" applyNumberFormat="1" applyFont="1" applyBorder="1" applyAlignment="1">
      <alignment horizontal="center" vertical="center"/>
    </xf>
    <xf numFmtId="3" fontId="12" fillId="0" borderId="12" xfId="0" applyNumberFormat="1" applyFont="1" applyBorder="1" applyAlignment="1">
      <alignment horizontal="center" vertical="center"/>
    </xf>
    <xf numFmtId="0" fontId="11" fillId="0" borderId="17" xfId="0" applyFont="1" applyBorder="1" applyAlignment="1">
      <alignment horizontal="left" vertical="top"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166" fontId="11" fillId="0" borderId="15" xfId="2" applyNumberFormat="1" applyFont="1" applyBorder="1" applyAlignment="1">
      <alignment horizontal="center" vertical="center"/>
    </xf>
    <xf numFmtId="3" fontId="11" fillId="0" borderId="15" xfId="0" applyNumberFormat="1" applyFont="1" applyBorder="1" applyAlignment="1">
      <alignment horizontal="center" vertical="center"/>
    </xf>
    <xf numFmtId="166" fontId="11" fillId="0" borderId="17" xfId="2" applyNumberFormat="1" applyFont="1" applyBorder="1" applyAlignment="1">
      <alignment horizontal="center" vertical="center"/>
    </xf>
    <xf numFmtId="3" fontId="11" fillId="0" borderId="17" xfId="0" applyNumberFormat="1" applyFont="1" applyBorder="1" applyAlignment="1">
      <alignment horizontal="center" vertical="center"/>
    </xf>
    <xf numFmtId="166" fontId="11" fillId="0" borderId="1" xfId="2" applyNumberFormat="1" applyFont="1" applyBorder="1" applyAlignment="1">
      <alignment horizontal="center" vertical="center"/>
    </xf>
    <xf numFmtId="166" fontId="11" fillId="0" borderId="12" xfId="2" applyNumberFormat="1" applyFont="1" applyBorder="1" applyAlignment="1">
      <alignment horizontal="center" vertical="center"/>
    </xf>
    <xf numFmtId="166" fontId="11" fillId="0" borderId="1" xfId="0" applyNumberFormat="1" applyFont="1" applyBorder="1" applyAlignment="1">
      <alignment horizontal="center" vertical="center"/>
    </xf>
    <xf numFmtId="3" fontId="11" fillId="0" borderId="12" xfId="0" applyNumberFormat="1" applyFont="1" applyBorder="1" applyAlignment="1">
      <alignment horizontal="center" vertical="center"/>
    </xf>
    <xf numFmtId="9" fontId="15" fillId="0" borderId="1" xfId="0" applyNumberFormat="1" applyFont="1" applyBorder="1" applyAlignment="1">
      <alignment horizontal="center" vertical="top"/>
    </xf>
    <xf numFmtId="9" fontId="11" fillId="0" borderId="7" xfId="0" applyNumberFormat="1" applyFont="1" applyBorder="1" applyAlignment="1">
      <alignment horizontal="center" vertical="top"/>
    </xf>
    <xf numFmtId="166" fontId="11" fillId="0" borderId="4" xfId="2" applyNumberFormat="1" applyFont="1" applyBorder="1" applyAlignment="1">
      <alignment horizontal="center" vertical="center"/>
    </xf>
    <xf numFmtId="9" fontId="15" fillId="0" borderId="1" xfId="0" applyNumberFormat="1" applyFont="1" applyBorder="1" applyAlignment="1">
      <alignment horizontal="center" vertical="top" wrapText="1"/>
    </xf>
    <xf numFmtId="166" fontId="11" fillId="0" borderId="4" xfId="2"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0" fontId="12" fillId="0" borderId="10" xfId="0" applyFont="1" applyBorder="1" applyAlignment="1">
      <alignment vertical="top" wrapText="1"/>
    </xf>
    <xf numFmtId="9" fontId="25" fillId="2" borderId="1" xfId="0" applyNumberFormat="1" applyFont="1" applyFill="1" applyBorder="1" applyAlignment="1">
      <alignment horizontal="center" vertical="center"/>
    </xf>
    <xf numFmtId="9" fontId="12" fillId="0" borderId="7" xfId="0" applyNumberFormat="1" applyFont="1" applyBorder="1" applyAlignment="1">
      <alignment horizontal="center" vertical="center"/>
    </xf>
    <xf numFmtId="166" fontId="12" fillId="0" borderId="4" xfId="2" applyNumberFormat="1" applyFont="1" applyBorder="1" applyAlignment="1">
      <alignment horizontal="center" vertical="center"/>
    </xf>
    <xf numFmtId="3" fontId="12" fillId="0" borderId="1" xfId="0" applyNumberFormat="1" applyFont="1" applyBorder="1" applyAlignment="1">
      <alignment horizontal="center" vertical="center"/>
    </xf>
    <xf numFmtId="9" fontId="12" fillId="0" borderId="1" xfId="0" applyNumberFormat="1" applyFont="1" applyBorder="1" applyAlignment="1">
      <alignment horizontal="center" vertical="center"/>
    </xf>
    <xf numFmtId="0" fontId="7" fillId="0" borderId="1" xfId="0" applyFont="1" applyBorder="1" applyAlignment="1">
      <alignment horizontal="center" vertical="center"/>
    </xf>
    <xf numFmtId="9" fontId="11" fillId="0" borderId="7" xfId="0" applyNumberFormat="1" applyFont="1" applyBorder="1" applyAlignment="1">
      <alignment horizontal="center" vertical="center"/>
    </xf>
    <xf numFmtId="166" fontId="11" fillId="0" borderId="12" xfId="2" applyNumberFormat="1" applyFont="1" applyFill="1" applyBorder="1" applyAlignment="1">
      <alignment vertical="center"/>
    </xf>
    <xf numFmtId="165" fontId="11" fillId="0" borderId="1" xfId="0" applyNumberFormat="1" applyFont="1" applyBorder="1" applyAlignment="1">
      <alignment horizontal="center" vertical="center"/>
    </xf>
    <xf numFmtId="0" fontId="12" fillId="0" borderId="12" xfId="0" applyFont="1" applyBorder="1" applyAlignment="1">
      <alignment vertical="top" wrapText="1"/>
    </xf>
    <xf numFmtId="9" fontId="12" fillId="0" borderId="12" xfId="0" applyNumberFormat="1" applyFont="1" applyBorder="1" applyAlignment="1">
      <alignment horizontal="center" vertical="center" wrapText="1"/>
    </xf>
    <xf numFmtId="166" fontId="12" fillId="0" borderId="1" xfId="0" applyNumberFormat="1" applyFont="1" applyBorder="1" applyAlignment="1">
      <alignment horizontal="center" vertical="center"/>
    </xf>
    <xf numFmtId="9" fontId="11" fillId="0" borderId="12" xfId="0" applyNumberFormat="1" applyFont="1" applyBorder="1" applyAlignment="1">
      <alignment horizontal="center" vertical="center" wrapText="1"/>
    </xf>
    <xf numFmtId="3" fontId="11" fillId="0" borderId="12" xfId="1" applyNumberFormat="1" applyFont="1" applyFill="1" applyBorder="1" applyAlignment="1">
      <alignment horizontal="center" vertical="center"/>
    </xf>
    <xf numFmtId="0" fontId="12" fillId="0" borderId="12" xfId="0" applyFont="1" applyBorder="1" applyAlignment="1">
      <alignment horizontal="left" vertical="top" wrapText="1"/>
    </xf>
    <xf numFmtId="9" fontId="25" fillId="0" borderId="14" xfId="1" applyNumberFormat="1" applyFont="1" applyFill="1" applyBorder="1" applyAlignment="1">
      <alignment horizontal="center" vertical="center" wrapText="1"/>
    </xf>
    <xf numFmtId="0" fontId="12" fillId="0" borderId="12" xfId="0" applyFont="1" applyBorder="1" applyAlignment="1">
      <alignment horizontal="center" vertical="center" wrapText="1"/>
    </xf>
    <xf numFmtId="3" fontId="12" fillId="0" borderId="17" xfId="1" applyNumberFormat="1" applyFont="1" applyFill="1" applyBorder="1" applyAlignment="1">
      <alignment vertical="center"/>
    </xf>
    <xf numFmtId="9" fontId="15" fillId="0" borderId="19" xfId="0" applyNumberFormat="1" applyFont="1" applyBorder="1" applyAlignment="1">
      <alignment horizontal="center" vertical="top" wrapText="1"/>
    </xf>
    <xf numFmtId="9" fontId="11" fillId="0" borderId="7" xfId="0" applyNumberFormat="1" applyFont="1" applyBorder="1" applyAlignment="1">
      <alignment horizontal="center" vertical="top" wrapText="1"/>
    </xf>
    <xf numFmtId="0" fontId="11" fillId="0" borderId="4" xfId="0" applyFont="1" applyBorder="1" applyAlignment="1">
      <alignment horizontal="center" vertical="center" wrapText="1"/>
    </xf>
    <xf numFmtId="9" fontId="15" fillId="0" borderId="23" xfId="0" applyNumberFormat="1" applyFont="1" applyBorder="1" applyAlignment="1">
      <alignment horizontal="center" vertical="top" wrapText="1"/>
    </xf>
    <xf numFmtId="0" fontId="11" fillId="0" borderId="4" xfId="0" applyFont="1" applyBorder="1" applyAlignment="1">
      <alignment horizontal="center" vertical="center"/>
    </xf>
    <xf numFmtId="9" fontId="11" fillId="0" borderId="4" xfId="0" applyNumberFormat="1" applyFont="1" applyBorder="1" applyAlignment="1">
      <alignment horizontal="center" vertical="center"/>
    </xf>
    <xf numFmtId="9" fontId="11" fillId="0" borderId="6" xfId="2" applyNumberFormat="1" applyFont="1" applyBorder="1" applyAlignment="1">
      <alignment horizontal="center" vertical="center"/>
    </xf>
    <xf numFmtId="166" fontId="11" fillId="0" borderId="8" xfId="2" applyNumberFormat="1" applyFont="1" applyBorder="1" applyAlignment="1">
      <alignment horizontal="center" vertical="center"/>
    </xf>
    <xf numFmtId="9" fontId="15" fillId="0" borderId="21" xfId="0" applyNumberFormat="1" applyFont="1" applyBorder="1" applyAlignment="1">
      <alignment horizontal="center" vertical="top" wrapText="1"/>
    </xf>
    <xf numFmtId="9" fontId="15" fillId="0" borderId="14" xfId="0" applyNumberFormat="1" applyFont="1" applyBorder="1" applyAlignment="1">
      <alignment horizontal="center" vertical="top" wrapText="1"/>
    </xf>
    <xf numFmtId="0" fontId="14" fillId="0" borderId="17" xfId="0" applyFont="1" applyBorder="1" applyAlignment="1">
      <alignment horizontal="center" vertical="center" wrapText="1"/>
    </xf>
    <xf numFmtId="0" fontId="11" fillId="0" borderId="8" xfId="0" applyFont="1" applyBorder="1" applyAlignment="1">
      <alignment horizontal="left" vertical="top" wrapText="1"/>
    </xf>
    <xf numFmtId="0" fontId="25" fillId="0" borderId="11" xfId="0" applyFont="1" applyBorder="1" applyAlignment="1">
      <alignment horizontal="left" vertical="top" wrapText="1"/>
    </xf>
    <xf numFmtId="9" fontId="25" fillId="0" borderId="11" xfId="0" applyNumberFormat="1" applyFont="1" applyBorder="1" applyAlignment="1">
      <alignment horizontal="center" vertical="center" wrapText="1"/>
    </xf>
    <xf numFmtId="3" fontId="12" fillId="2" borderId="12" xfId="1" applyNumberFormat="1" applyFont="1" applyFill="1" applyBorder="1" applyAlignment="1">
      <alignment horizontal="center" vertical="center" wrapText="1"/>
    </xf>
    <xf numFmtId="10"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5" fillId="0" borderId="13" xfId="0" applyFont="1" applyBorder="1" applyAlignment="1">
      <alignment horizontal="left" vertical="top" wrapText="1"/>
    </xf>
    <xf numFmtId="0" fontId="15" fillId="0" borderId="13" xfId="0" applyFont="1" applyBorder="1" applyAlignment="1">
      <alignment horizontal="center" vertical="center" wrapText="1"/>
    </xf>
    <xf numFmtId="3" fontId="11" fillId="2" borderId="12" xfId="1" applyNumberFormat="1" applyFont="1" applyFill="1" applyBorder="1" applyAlignment="1">
      <alignment horizontal="center" vertical="center" wrapText="1"/>
    </xf>
    <xf numFmtId="0" fontId="15" fillId="0" borderId="13" xfId="0" applyFont="1" applyBorder="1" applyAlignment="1">
      <alignment horizontal="center" vertical="top" wrapText="1"/>
    </xf>
    <xf numFmtId="0" fontId="15" fillId="0" borderId="18" xfId="0" applyFont="1" applyBorder="1" applyAlignment="1">
      <alignment horizontal="left" vertical="top" wrapText="1"/>
    </xf>
    <xf numFmtId="41" fontId="11" fillId="0" borderId="1" xfId="0" applyNumberFormat="1" applyFont="1" applyBorder="1" applyAlignment="1">
      <alignment horizontal="center" vertical="center"/>
    </xf>
    <xf numFmtId="166" fontId="11" fillId="0" borderId="1" xfId="2" quotePrefix="1" applyNumberFormat="1" applyFont="1" applyBorder="1" applyAlignment="1">
      <alignment horizontal="center" vertical="center"/>
    </xf>
    <xf numFmtId="0" fontId="25" fillId="0" borderId="1" xfId="0" applyFont="1" applyBorder="1" applyAlignment="1">
      <alignment horizontal="left" vertical="top" wrapText="1"/>
    </xf>
    <xf numFmtId="9"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xf>
    <xf numFmtId="0" fontId="15" fillId="0" borderId="12" xfId="0" applyFont="1" applyBorder="1" applyAlignment="1">
      <alignment horizontal="left" vertical="top" wrapText="1"/>
    </xf>
    <xf numFmtId="0" fontId="15" fillId="0" borderId="14" xfId="0" applyFont="1" applyBorder="1" applyAlignment="1">
      <alignment horizontal="center" vertical="center" wrapText="1"/>
    </xf>
    <xf numFmtId="3" fontId="12" fillId="0" borderId="17" xfId="2" applyNumberFormat="1" applyFont="1" applyFill="1" applyBorder="1" applyAlignment="1" applyProtection="1">
      <alignment horizontal="center" vertical="center" wrapText="1"/>
      <protection locked="0"/>
    </xf>
    <xf numFmtId="0" fontId="15" fillId="0" borderId="20" xfId="0" applyFont="1" applyBorder="1" applyAlignment="1">
      <alignment horizontal="center" vertical="center" wrapText="1"/>
    </xf>
    <xf numFmtId="0" fontId="11" fillId="0" borderId="7" xfId="0" applyFont="1" applyBorder="1" applyAlignment="1">
      <alignment horizontal="center" vertical="center"/>
    </xf>
    <xf numFmtId="9" fontId="11" fillId="0" borderId="7" xfId="0" applyNumberFormat="1" applyFont="1" applyBorder="1" applyAlignment="1">
      <alignment horizontal="center" vertical="center" wrapText="1"/>
    </xf>
    <xf numFmtId="0" fontId="15" fillId="0" borderId="14" xfId="0" applyFont="1" applyBorder="1" applyAlignment="1">
      <alignment horizontal="left" vertical="top" wrapText="1"/>
    </xf>
    <xf numFmtId="0" fontId="25" fillId="0" borderId="17" xfId="0" applyFont="1" applyBorder="1" applyAlignment="1">
      <alignment vertical="top" wrapText="1"/>
    </xf>
    <xf numFmtId="9" fontId="25" fillId="0" borderId="17" xfId="0" applyNumberFormat="1" applyFont="1" applyBorder="1" applyAlignment="1">
      <alignment horizontal="center" vertical="center"/>
    </xf>
    <xf numFmtId="3" fontId="12" fillId="2" borderId="1" xfId="0" applyNumberFormat="1" applyFont="1" applyFill="1" applyBorder="1" applyAlignment="1">
      <alignment horizontal="center" vertical="center" wrapText="1"/>
    </xf>
    <xf numFmtId="166" fontId="12" fillId="0" borderId="12" xfId="2" applyNumberFormat="1" applyFont="1" applyBorder="1" applyAlignment="1">
      <alignment horizontal="center" vertical="center" wrapText="1"/>
    </xf>
    <xf numFmtId="1"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165" fontId="12" fillId="0" borderId="2" xfId="0" applyNumberFormat="1" applyFont="1" applyBorder="1" applyAlignment="1">
      <alignment horizontal="center" vertical="center"/>
    </xf>
    <xf numFmtId="166" fontId="11" fillId="0" borderId="15" xfId="2" applyNumberFormat="1" applyFont="1" applyBorder="1" applyAlignment="1">
      <alignment horizontal="center" vertical="center" wrapText="1"/>
    </xf>
    <xf numFmtId="1"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0" fontId="15" fillId="0" borderId="1" xfId="0" applyFont="1" applyBorder="1" applyAlignment="1">
      <alignment horizontal="left" vertical="top" wrapText="1"/>
    </xf>
    <xf numFmtId="166" fontId="11" fillId="0" borderId="17" xfId="2" applyNumberFormat="1" applyFont="1" applyBorder="1" applyAlignment="1">
      <alignment horizontal="center" vertical="center" wrapText="1"/>
    </xf>
    <xf numFmtId="0" fontId="15" fillId="0" borderId="1" xfId="0" quotePrefix="1" applyFont="1" applyBorder="1" applyAlignment="1">
      <alignment horizontal="left" vertical="top" wrapText="1"/>
    </xf>
    <xf numFmtId="166" fontId="11" fillId="0" borderId="12" xfId="2" applyNumberFormat="1" applyFont="1" applyBorder="1" applyAlignment="1">
      <alignment horizontal="center" vertical="center" wrapText="1"/>
    </xf>
    <xf numFmtId="0" fontId="15" fillId="2" borderId="13" xfId="0" quotePrefix="1" applyFont="1" applyFill="1" applyBorder="1" applyAlignment="1">
      <alignment horizontal="left" vertical="top" wrapText="1"/>
    </xf>
    <xf numFmtId="0" fontId="15" fillId="0" borderId="14" xfId="0" quotePrefix="1" applyFont="1" applyBorder="1" applyAlignment="1">
      <alignment horizontal="left" vertical="top" wrapText="1"/>
    </xf>
    <xf numFmtId="9" fontId="15" fillId="0" borderId="14" xfId="0" applyNumberFormat="1" applyFont="1" applyBorder="1" applyAlignment="1">
      <alignment horizontal="center" vertical="center" wrapText="1"/>
    </xf>
    <xf numFmtId="9" fontId="11" fillId="0" borderId="1" xfId="5" applyFont="1" applyBorder="1" applyAlignment="1">
      <alignment horizontal="center" vertical="center"/>
    </xf>
    <xf numFmtId="0" fontId="10" fillId="0" borderId="8" xfId="0" applyFont="1" applyBorder="1" applyAlignment="1">
      <alignment horizontal="center" vertical="top" wrapText="1"/>
    </xf>
    <xf numFmtId="0" fontId="25" fillId="0" borderId="11" xfId="6" applyFont="1" applyBorder="1" applyAlignment="1">
      <alignment horizontal="left" vertical="top" wrapText="1"/>
    </xf>
    <xf numFmtId="0" fontId="25" fillId="0" borderId="11" xfId="6" applyFont="1" applyBorder="1" applyAlignment="1">
      <alignment horizontal="center" vertical="center" wrapText="1"/>
    </xf>
    <xf numFmtId="3" fontId="12" fillId="0" borderId="12" xfId="0" applyNumberFormat="1" applyFont="1" applyBorder="1" applyAlignment="1">
      <alignment vertical="center"/>
    </xf>
    <xf numFmtId="0" fontId="15" fillId="0" borderId="14" xfId="6" applyFont="1" applyBorder="1" applyAlignment="1">
      <alignment horizontal="left" vertical="top" wrapText="1"/>
    </xf>
    <xf numFmtId="9" fontId="25" fillId="0" borderId="11" xfId="6" applyNumberFormat="1" applyFont="1" applyBorder="1" applyAlignment="1">
      <alignment horizontal="center" vertical="center" wrapText="1"/>
    </xf>
    <xf numFmtId="0" fontId="15" fillId="0" borderId="13" xfId="6" applyFont="1" applyBorder="1" applyAlignment="1">
      <alignment vertical="top" wrapText="1"/>
    </xf>
    <xf numFmtId="0" fontId="15" fillId="0" borderId="13" xfId="6" applyFont="1" applyBorder="1" applyAlignment="1">
      <alignment horizontal="center" vertical="center" wrapText="1"/>
    </xf>
    <xf numFmtId="3" fontId="11" fillId="0" borderId="12" xfId="0" applyNumberFormat="1" applyFont="1" applyBorder="1" applyAlignment="1">
      <alignment vertical="center"/>
    </xf>
    <xf numFmtId="0" fontId="11" fillId="0" borderId="1" xfId="2" applyNumberFormat="1" applyFont="1" applyBorder="1" applyAlignment="1">
      <alignment horizontal="center" vertical="center"/>
    </xf>
    <xf numFmtId="41" fontId="11" fillId="0" borderId="1" xfId="0" quotePrefix="1" applyNumberFormat="1" applyFont="1" applyBorder="1" applyAlignment="1">
      <alignment horizontal="center" vertical="center"/>
    </xf>
    <xf numFmtId="41" fontId="11" fillId="0" borderId="1" xfId="2" applyNumberFormat="1" applyFont="1" applyBorder="1" applyAlignment="1">
      <alignment horizontal="center" vertical="center"/>
    </xf>
    <xf numFmtId="166" fontId="11" fillId="0" borderId="1" xfId="2" applyNumberFormat="1" applyFont="1" applyBorder="1" applyAlignment="1">
      <alignment horizontal="right" vertical="center"/>
    </xf>
    <xf numFmtId="0" fontId="15" fillId="0" borderId="13" xfId="6" applyFont="1" applyBorder="1" applyAlignment="1">
      <alignment horizontal="left" vertical="top" wrapText="1"/>
    </xf>
    <xf numFmtId="3" fontId="11" fillId="0" borderId="15" xfId="0" applyNumberFormat="1" applyFont="1" applyBorder="1" applyAlignment="1">
      <alignment vertical="center"/>
    </xf>
    <xf numFmtId="9" fontId="11" fillId="0" borderId="15" xfId="0" applyNumberFormat="1" applyFont="1" applyBorder="1" applyAlignment="1">
      <alignment vertical="center"/>
    </xf>
    <xf numFmtId="0" fontId="15" fillId="0" borderId="14" xfId="6" applyFont="1" applyBorder="1" applyAlignment="1">
      <alignment horizontal="center" vertical="center" wrapText="1"/>
    </xf>
    <xf numFmtId="0" fontId="12" fillId="0" borderId="1" xfId="0" quotePrefix="1" applyFont="1" applyBorder="1" applyAlignment="1">
      <alignment horizontal="center" vertical="center"/>
    </xf>
    <xf numFmtId="41" fontId="12" fillId="0" borderId="1" xfId="0" quotePrefix="1" applyNumberFormat="1" applyFont="1" applyBorder="1" applyAlignment="1">
      <alignment horizontal="center" vertical="center"/>
    </xf>
    <xf numFmtId="9" fontId="12" fillId="0" borderId="1" xfId="0" quotePrefix="1" applyNumberFormat="1" applyFont="1" applyBorder="1" applyAlignment="1">
      <alignment horizontal="center" vertical="center"/>
    </xf>
    <xf numFmtId="9" fontId="11" fillId="0" borderId="1" xfId="2" applyNumberFormat="1" applyFont="1" applyBorder="1" applyAlignment="1">
      <alignment horizontal="center" vertical="center"/>
    </xf>
    <xf numFmtId="0" fontId="15" fillId="0" borderId="13" xfId="6" applyFont="1" applyBorder="1" applyAlignment="1">
      <alignment horizontal="center" vertical="top" wrapText="1"/>
    </xf>
    <xf numFmtId="9" fontId="11" fillId="0" borderId="12" xfId="0" applyNumberFormat="1" applyFont="1" applyBorder="1" applyAlignment="1">
      <alignment horizontal="center" vertical="top" wrapText="1"/>
    </xf>
    <xf numFmtId="167" fontId="12" fillId="0" borderId="1" xfId="2" applyNumberFormat="1" applyFont="1" applyBorder="1" applyAlignment="1">
      <alignment horizontal="center" vertical="center"/>
    </xf>
    <xf numFmtId="0" fontId="11" fillId="0" borderId="1" xfId="0" quotePrefix="1" applyFont="1" applyBorder="1" applyAlignment="1">
      <alignment horizontal="center" vertical="center"/>
    </xf>
    <xf numFmtId="165" fontId="11" fillId="0" borderId="1" xfId="2" applyFont="1" applyBorder="1" applyAlignment="1">
      <alignment horizontal="center" vertical="center"/>
    </xf>
    <xf numFmtId="165" fontId="11" fillId="0" borderId="12" xfId="2" applyFont="1" applyBorder="1" applyAlignment="1">
      <alignment horizontal="center" vertical="center"/>
    </xf>
    <xf numFmtId="0" fontId="11" fillId="0" borderId="1" xfId="0" applyFont="1" applyBorder="1" applyAlignment="1">
      <alignment vertical="top" wrapText="1"/>
    </xf>
    <xf numFmtId="0" fontId="15" fillId="2" borderId="14" xfId="0" applyFont="1" applyFill="1" applyBorder="1" applyAlignment="1">
      <alignment horizontal="left" vertical="top" wrapText="1"/>
    </xf>
    <xf numFmtId="0" fontId="15" fillId="2" borderId="14" xfId="0" applyFont="1" applyFill="1" applyBorder="1" applyAlignment="1">
      <alignment horizontal="center" vertical="center"/>
    </xf>
    <xf numFmtId="9" fontId="11" fillId="0" borderId="17" xfId="0" applyNumberFormat="1" applyFont="1" applyBorder="1" applyAlignment="1">
      <alignment horizontal="center" vertical="center" wrapText="1"/>
    </xf>
    <xf numFmtId="0" fontId="15" fillId="0" borderId="1" xfId="6" applyFont="1" applyBorder="1" applyAlignment="1">
      <alignment horizontal="left" vertical="top" wrapText="1"/>
    </xf>
    <xf numFmtId="0" fontId="15" fillId="0" borderId="1" xfId="6" applyFont="1" applyBorder="1" applyAlignment="1">
      <alignment horizontal="center" vertical="center" wrapText="1"/>
    </xf>
    <xf numFmtId="0" fontId="15" fillId="0" borderId="21" xfId="6" applyFont="1" applyBorder="1" applyAlignment="1">
      <alignment horizontal="left" vertical="top" wrapText="1"/>
    </xf>
    <xf numFmtId="0" fontId="15" fillId="0" borderId="21" xfId="6" applyFont="1" applyBorder="1" applyAlignment="1">
      <alignment horizontal="center" vertical="center" wrapText="1"/>
    </xf>
    <xf numFmtId="0" fontId="12" fillId="0" borderId="17" xfId="0" applyFont="1" applyBorder="1" applyAlignment="1">
      <alignment vertical="top" wrapText="1"/>
    </xf>
    <xf numFmtId="0" fontId="25" fillId="2" borderId="11" xfId="0" applyFont="1" applyFill="1" applyBorder="1" applyAlignment="1">
      <alignment horizontal="left" vertical="top" wrapText="1"/>
    </xf>
    <xf numFmtId="9" fontId="12" fillId="0" borderId="17" xfId="0" applyNumberFormat="1" applyFont="1" applyBorder="1" applyAlignment="1">
      <alignment horizontal="center" vertical="center"/>
    </xf>
    <xf numFmtId="0" fontId="11" fillId="0" borderId="17" xfId="0" applyFont="1" applyBorder="1" applyAlignment="1">
      <alignment vertical="top" wrapText="1"/>
    </xf>
    <xf numFmtId="0" fontId="15" fillId="0" borderId="13" xfId="7" applyFont="1" applyBorder="1" applyAlignment="1">
      <alignment vertical="top" wrapText="1"/>
    </xf>
    <xf numFmtId="9" fontId="15" fillId="0" borderId="13" xfId="7" applyNumberFormat="1" applyFont="1" applyBorder="1" applyAlignment="1">
      <alignment horizontal="center" vertical="center" wrapText="1"/>
    </xf>
    <xf numFmtId="9" fontId="11" fillId="0" borderId="17" xfId="0" applyNumberFormat="1" applyFont="1" applyBorder="1" applyAlignment="1">
      <alignment horizontal="center" vertical="center"/>
    </xf>
    <xf numFmtId="0" fontId="15" fillId="0" borderId="13" xfId="0" applyFont="1" applyBorder="1" applyAlignment="1">
      <alignment vertical="top" wrapText="1"/>
    </xf>
    <xf numFmtId="0" fontId="15" fillId="0" borderId="13" xfId="8" applyFont="1" applyBorder="1" applyAlignment="1">
      <alignment horizontal="left" vertical="top" wrapText="1"/>
    </xf>
    <xf numFmtId="9" fontId="15" fillId="0" borderId="13" xfId="0" applyNumberFormat="1" applyFont="1" applyBorder="1" applyAlignment="1">
      <alignment horizontal="center" vertical="center" wrapText="1"/>
    </xf>
    <xf numFmtId="9" fontId="11" fillId="0" borderId="15" xfId="0" applyNumberFormat="1" applyFont="1" applyBorder="1" applyAlignment="1">
      <alignment horizontal="center" vertical="center"/>
    </xf>
    <xf numFmtId="41" fontId="7" fillId="0" borderId="4" xfId="0" applyNumberFormat="1" applyFont="1" applyBorder="1" applyAlignment="1">
      <alignment horizontal="center" vertical="center"/>
    </xf>
    <xf numFmtId="0" fontId="11" fillId="0" borderId="1" xfId="0" applyFont="1" applyBorder="1" applyAlignment="1">
      <alignment horizontal="center" vertical="top" wrapText="1"/>
    </xf>
    <xf numFmtId="0" fontId="15" fillId="0" borderId="17" xfId="0" applyFont="1" applyBorder="1" applyAlignment="1">
      <alignment horizontal="center" vertical="center" wrapText="1"/>
    </xf>
    <xf numFmtId="0" fontId="25" fillId="0" borderId="11" xfId="8" applyFont="1" applyBorder="1" applyAlignment="1">
      <alignment horizontal="left" vertical="top" wrapText="1"/>
    </xf>
    <xf numFmtId="0" fontId="25" fillId="0" borderId="11" xfId="8" applyFont="1" applyBorder="1" applyAlignment="1">
      <alignment horizontal="center" vertical="center" wrapText="1"/>
    </xf>
    <xf numFmtId="0" fontId="25" fillId="0" borderId="13" xfId="8" applyFont="1" applyBorder="1" applyAlignment="1">
      <alignment horizontal="left" vertical="top" wrapText="1"/>
    </xf>
    <xf numFmtId="0" fontId="25" fillId="0" borderId="13" xfId="8" applyFont="1" applyBorder="1" applyAlignment="1">
      <alignment horizontal="center" vertical="center" wrapText="1"/>
    </xf>
    <xf numFmtId="9" fontId="25" fillId="0" borderId="13" xfId="5" applyFont="1" applyFill="1" applyBorder="1" applyAlignment="1">
      <alignment horizontal="center" vertical="center" wrapText="1"/>
    </xf>
    <xf numFmtId="9" fontId="25" fillId="0" borderId="13" xfId="8" applyNumberFormat="1" applyFont="1" applyBorder="1" applyAlignment="1">
      <alignment horizontal="center" vertical="center" wrapText="1"/>
    </xf>
    <xf numFmtId="1" fontId="25" fillId="0" borderId="13" xfId="5" quotePrefix="1" applyNumberFormat="1" applyFont="1" applyFill="1" applyBorder="1" applyAlignment="1">
      <alignment horizontal="center" vertical="center" wrapText="1"/>
    </xf>
    <xf numFmtId="0" fontId="25" fillId="0" borderId="13" xfId="5" quotePrefix="1" applyNumberFormat="1" applyFont="1" applyFill="1" applyBorder="1" applyAlignment="1">
      <alignment horizontal="center" vertical="center" wrapText="1"/>
    </xf>
    <xf numFmtId="0" fontId="25" fillId="0" borderId="14" xfId="8" applyFont="1" applyBorder="1" applyAlignment="1">
      <alignment horizontal="left" vertical="top" wrapText="1"/>
    </xf>
    <xf numFmtId="0" fontId="25" fillId="0" borderId="14" xfId="8" applyFont="1" applyBorder="1" applyAlignment="1">
      <alignment horizontal="center" vertical="center" wrapText="1"/>
    </xf>
    <xf numFmtId="0" fontId="11" fillId="2" borderId="12" xfId="0" applyFont="1" applyFill="1" applyBorder="1" applyAlignment="1">
      <alignment vertical="top" wrapText="1"/>
    </xf>
    <xf numFmtId="0" fontId="15" fillId="0" borderId="11" xfId="9" applyBorder="1" applyAlignment="1">
      <alignment horizontal="left" vertical="top" wrapText="1"/>
    </xf>
    <xf numFmtId="0" fontId="15" fillId="0" borderId="11" xfId="9" applyBorder="1" applyAlignment="1">
      <alignment horizontal="center" vertical="center" wrapText="1"/>
    </xf>
    <xf numFmtId="0" fontId="15" fillId="0" borderId="13" xfId="9" applyBorder="1" applyAlignment="1">
      <alignment horizontal="center" vertical="center" wrapText="1"/>
    </xf>
    <xf numFmtId="0" fontId="18" fillId="0" borderId="1" xfId="0" applyFont="1" applyBorder="1" applyAlignment="1">
      <alignment horizontal="left" vertical="top" wrapText="1"/>
    </xf>
    <xf numFmtId="0" fontId="12" fillId="0" borderId="12" xfId="0" applyFont="1" applyBorder="1" applyAlignment="1">
      <alignment horizontal="center" vertical="top" wrapText="1"/>
    </xf>
    <xf numFmtId="0" fontId="11" fillId="0" borderId="1" xfId="0" applyFont="1" applyBorder="1"/>
    <xf numFmtId="0" fontId="12" fillId="0" borderId="1" xfId="0" applyFont="1" applyBorder="1" applyAlignment="1">
      <alignment horizontal="center" vertical="top" wrapText="1"/>
    </xf>
    <xf numFmtId="0" fontId="12" fillId="0" borderId="18" xfId="0" applyFont="1" applyBorder="1" applyAlignment="1">
      <alignment horizontal="left" vertical="top" wrapText="1"/>
    </xf>
    <xf numFmtId="0" fontId="25" fillId="0" borderId="14" xfId="0" applyFont="1" applyBorder="1" applyAlignment="1">
      <alignment horizontal="left" vertical="top" wrapText="1"/>
    </xf>
    <xf numFmtId="9" fontId="25" fillId="0" borderId="14" xfId="0" applyNumberFormat="1" applyFont="1" applyBorder="1" applyAlignment="1">
      <alignment horizontal="center" vertical="center"/>
    </xf>
    <xf numFmtId="3" fontId="12" fillId="0" borderId="18" xfId="0" applyNumberFormat="1" applyFont="1" applyBorder="1" applyAlignment="1">
      <alignment horizontal="right" vertical="center"/>
    </xf>
    <xf numFmtId="3" fontId="12" fillId="0" borderId="18" xfId="0" applyNumberFormat="1" applyFont="1" applyBorder="1" applyAlignment="1">
      <alignment vertical="center"/>
    </xf>
    <xf numFmtId="0" fontId="15" fillId="0" borderId="11" xfId="0" applyFont="1" applyBorder="1" applyAlignment="1">
      <alignment horizontal="left" vertical="top" wrapText="1"/>
    </xf>
    <xf numFmtId="0" fontId="15" fillId="0" borderId="11" xfId="0" applyFont="1" applyBorder="1" applyAlignment="1">
      <alignment horizontal="center" vertical="center" wrapText="1"/>
    </xf>
    <xf numFmtId="3" fontId="11" fillId="0" borderId="1" xfId="0" applyNumberFormat="1" applyFont="1" applyBorder="1" applyAlignment="1">
      <alignment horizontal="right" vertical="center"/>
    </xf>
    <xf numFmtId="0" fontId="11" fillId="0" borderId="15" xfId="0" applyFont="1" applyBorder="1" applyAlignment="1">
      <alignment horizontal="center" vertical="center" wrapText="1"/>
    </xf>
    <xf numFmtId="0" fontId="11" fillId="0" borderId="4" xfId="0" applyFont="1" applyBorder="1"/>
    <xf numFmtId="0" fontId="10" fillId="0" borderId="16" xfId="0" applyFont="1" applyBorder="1" applyAlignment="1">
      <alignment vertical="top" wrapText="1"/>
    </xf>
    <xf numFmtId="0" fontId="15" fillId="0" borderId="1" xfId="0" applyFont="1" applyBorder="1" applyAlignment="1">
      <alignment horizontal="center" vertical="top" wrapText="1"/>
    </xf>
    <xf numFmtId="0" fontId="15" fillId="0" borderId="12" xfId="0" applyFont="1" applyBorder="1" applyAlignment="1">
      <alignment horizontal="center" vertical="top" wrapText="1"/>
    </xf>
    <xf numFmtId="10" fontId="11" fillId="0" borderId="1" xfId="2" applyNumberFormat="1" applyFont="1" applyBorder="1" applyAlignment="1">
      <alignment horizontal="center" vertical="center"/>
    </xf>
    <xf numFmtId="0" fontId="11" fillId="0" borderId="0" xfId="0" applyFont="1" applyAlignment="1">
      <alignment horizontal="left" vertical="top" wrapText="1"/>
    </xf>
    <xf numFmtId="41" fontId="11" fillId="0" borderId="15" xfId="0" applyNumberFormat="1" applyFont="1" applyBorder="1" applyAlignment="1">
      <alignment horizontal="center" vertical="center" wrapText="1"/>
    </xf>
    <xf numFmtId="41" fontId="11" fillId="0" borderId="17" xfId="0" applyNumberFormat="1" applyFont="1" applyBorder="1" applyAlignment="1">
      <alignment horizontal="center" vertical="center" wrapText="1"/>
    </xf>
    <xf numFmtId="0" fontId="15" fillId="0" borderId="12" xfId="0" applyFont="1" applyBorder="1" applyAlignment="1">
      <alignment horizontal="center" vertical="center" wrapText="1"/>
    </xf>
    <xf numFmtId="9" fontId="15" fillId="0" borderId="21" xfId="0" applyNumberFormat="1" applyFont="1" applyBorder="1" applyAlignment="1">
      <alignment horizontal="center" vertical="center" wrapText="1"/>
    </xf>
    <xf numFmtId="9" fontId="15" fillId="0" borderId="14" xfId="7" applyNumberFormat="1" applyFont="1" applyBorder="1" applyAlignment="1">
      <alignment horizontal="center" vertical="center" wrapText="1"/>
    </xf>
    <xf numFmtId="0" fontId="15" fillId="0" borderId="1" xfId="9" applyBorder="1" applyAlignment="1">
      <alignment horizontal="center" vertical="center" wrapText="1"/>
    </xf>
    <xf numFmtId="0" fontId="15" fillId="0" borderId="1" xfId="0" applyFont="1" applyBorder="1" applyAlignment="1">
      <alignment horizontal="center" vertical="center" wrapText="1"/>
    </xf>
    <xf numFmtId="166" fontId="10" fillId="0" borderId="1" xfId="2" applyNumberFormat="1" applyFont="1" applyBorder="1" applyAlignment="1">
      <alignment vertical="center"/>
    </xf>
    <xf numFmtId="0" fontId="23" fillId="0" borderId="15" xfId="0" applyFont="1" applyBorder="1" applyAlignment="1">
      <alignment horizontal="center" vertical="top" wrapText="1"/>
    </xf>
    <xf numFmtId="0" fontId="10" fillId="0" borderId="4" xfId="0" applyFont="1" applyBorder="1" applyAlignment="1">
      <alignment vertical="top" wrapText="1"/>
    </xf>
    <xf numFmtId="0" fontId="12" fillId="0" borderId="1" xfId="0" applyFont="1" applyBorder="1" applyAlignment="1">
      <alignment vertical="top" wrapText="1"/>
    </xf>
    <xf numFmtId="166" fontId="12" fillId="0" borderId="1" xfId="2" applyNumberFormat="1" applyFont="1" applyFill="1" applyBorder="1" applyAlignment="1">
      <alignment vertical="center"/>
    </xf>
    <xf numFmtId="9" fontId="25" fillId="0" borderId="15" xfId="0" applyNumberFormat="1" applyFont="1" applyBorder="1" applyAlignment="1">
      <alignment horizontal="center" vertical="center" wrapText="1"/>
    </xf>
    <xf numFmtId="166" fontId="12" fillId="0" borderId="12" xfId="2" applyNumberFormat="1" applyFont="1" applyBorder="1" applyAlignment="1">
      <alignment horizontal="center" vertical="center"/>
    </xf>
    <xf numFmtId="0" fontId="25" fillId="2" borderId="18" xfId="0" applyFont="1" applyFill="1" applyBorder="1" applyAlignment="1">
      <alignment horizontal="center" vertical="center"/>
    </xf>
    <xf numFmtId="166" fontId="11" fillId="0" borderId="17" xfId="0" applyNumberFormat="1" applyFont="1" applyBorder="1" applyAlignment="1">
      <alignment horizontal="center" vertical="center"/>
    </xf>
    <xf numFmtId="165" fontId="11" fillId="0" borderId="7" xfId="0" applyNumberFormat="1" applyFont="1" applyBorder="1" applyAlignment="1">
      <alignment horizontal="center" vertical="center"/>
    </xf>
    <xf numFmtId="0" fontId="26" fillId="0" borderId="1" xfId="0" applyFont="1" applyBorder="1" applyAlignment="1">
      <alignment horizontal="center" vertical="center"/>
    </xf>
    <xf numFmtId="165" fontId="26" fillId="0" borderId="1" xfId="0" applyNumberFormat="1" applyFont="1" applyBorder="1" applyAlignment="1">
      <alignment horizontal="center" vertical="center"/>
    </xf>
    <xf numFmtId="166" fontId="11" fillId="0" borderId="2" xfId="2" applyNumberFormat="1" applyFont="1" applyBorder="1" applyAlignment="1">
      <alignment horizontal="center" vertical="center"/>
    </xf>
    <xf numFmtId="0" fontId="12" fillId="0" borderId="15" xfId="0" applyFont="1" applyBorder="1" applyAlignment="1">
      <alignment horizontal="center" vertical="center"/>
    </xf>
    <xf numFmtId="3" fontId="11" fillId="0" borderId="7" xfId="0" applyNumberFormat="1" applyFont="1" applyBorder="1" applyAlignment="1">
      <alignment horizontal="center" vertical="center"/>
    </xf>
    <xf numFmtId="166" fontId="12" fillId="0" borderId="12" xfId="0" applyNumberFormat="1" applyFont="1" applyBorder="1" applyAlignment="1">
      <alignment horizontal="center" vertical="center"/>
    </xf>
    <xf numFmtId="3" fontId="12" fillId="0" borderId="7" xfId="0" applyNumberFormat="1" applyFont="1" applyBorder="1" applyAlignment="1">
      <alignment horizontal="center" vertical="center"/>
    </xf>
    <xf numFmtId="166" fontId="11" fillId="0" borderId="17" xfId="0" applyNumberFormat="1" applyFont="1" applyBorder="1" applyAlignment="1">
      <alignment horizontal="center" vertical="center" wrapText="1"/>
    </xf>
    <xf numFmtId="165" fontId="11" fillId="0" borderId="9" xfId="0" applyNumberFormat="1" applyFont="1" applyBorder="1" applyAlignment="1">
      <alignment horizontal="center" vertical="center"/>
    </xf>
    <xf numFmtId="9" fontId="11" fillId="0" borderId="1" xfId="0" quotePrefix="1" applyNumberFormat="1" applyFont="1" applyBorder="1" applyAlignment="1">
      <alignment horizontal="center" vertical="center"/>
    </xf>
    <xf numFmtId="0" fontId="12"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9" fontId="15" fillId="2" borderId="1" xfId="0" applyNumberFormat="1" applyFont="1" applyFill="1" applyBorder="1" applyAlignment="1">
      <alignment horizontal="center" vertical="top" wrapText="1"/>
    </xf>
    <xf numFmtId="3" fontId="12" fillId="2" borderId="15" xfId="1" applyNumberFormat="1" applyFont="1" applyFill="1" applyBorder="1" applyAlignment="1">
      <alignment vertical="center"/>
    </xf>
    <xf numFmtId="41" fontId="12" fillId="2" borderId="1" xfId="0" applyNumberFormat="1" applyFont="1" applyFill="1" applyBorder="1" applyAlignment="1">
      <alignment horizontal="center" vertical="center" wrapText="1"/>
    </xf>
    <xf numFmtId="3" fontId="11" fillId="2" borderId="1" xfId="1" applyNumberFormat="1" applyFont="1" applyFill="1" applyBorder="1" applyAlignment="1">
      <alignment vertical="center"/>
    </xf>
    <xf numFmtId="41"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3" fontId="12" fillId="2" borderId="17" xfId="1" applyNumberFormat="1" applyFont="1" applyFill="1" applyBorder="1" applyAlignment="1">
      <alignment horizontal="right" vertical="center"/>
    </xf>
    <xf numFmtId="0" fontId="12" fillId="2" borderId="12" xfId="0" applyFont="1" applyFill="1" applyBorder="1" applyAlignment="1">
      <alignment horizontal="center" vertical="center" wrapText="1"/>
    </xf>
    <xf numFmtId="3" fontId="12" fillId="2" borderId="12" xfId="1" applyNumberFormat="1" applyFont="1" applyFill="1" applyBorder="1" applyAlignment="1">
      <alignment horizontal="center" vertical="center"/>
    </xf>
    <xf numFmtId="3" fontId="11" fillId="2" borderId="12" xfId="1" applyNumberFormat="1" applyFont="1" applyFill="1" applyBorder="1" applyAlignment="1">
      <alignment horizontal="center" vertical="top"/>
    </xf>
    <xf numFmtId="3" fontId="12" fillId="2" borderId="1" xfId="1" applyNumberFormat="1" applyFont="1" applyFill="1" applyBorder="1" applyAlignment="1">
      <alignment horizontal="right" vertical="center"/>
    </xf>
    <xf numFmtId="166" fontId="12" fillId="2" borderId="11" xfId="2" applyNumberFormat="1" applyFont="1" applyFill="1" applyBorder="1" applyAlignment="1">
      <alignment horizontal="center" vertical="center" wrapText="1"/>
    </xf>
    <xf numFmtId="0" fontId="15" fillId="2" borderId="1" xfId="0" applyFont="1" applyFill="1" applyBorder="1" applyAlignment="1">
      <alignment horizontal="center" vertical="top" wrapText="1"/>
    </xf>
    <xf numFmtId="0" fontId="10" fillId="2" borderId="15" xfId="0" applyFont="1" applyFill="1" applyBorder="1" applyAlignment="1">
      <alignment horizontal="center" vertical="center"/>
    </xf>
    <xf numFmtId="0" fontId="10" fillId="2" borderId="1" xfId="0" applyFont="1" applyFill="1" applyBorder="1" applyAlignment="1">
      <alignment horizontal="center" vertical="center"/>
    </xf>
    <xf numFmtId="3" fontId="12" fillId="2" borderId="1" xfId="1" applyNumberFormat="1" applyFont="1" applyFill="1" applyBorder="1" applyAlignment="1">
      <alignment horizontal="center" vertical="center" wrapText="1"/>
    </xf>
    <xf numFmtId="41" fontId="11" fillId="2" borderId="12" xfId="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1" fillId="2" borderId="12" xfId="1" applyNumberFormat="1" applyFont="1" applyFill="1" applyBorder="1" applyAlignment="1">
      <alignment horizontal="center" vertical="center"/>
    </xf>
    <xf numFmtId="41" fontId="11" fillId="2" borderId="0" xfId="0" applyNumberFormat="1" applyFont="1" applyFill="1" applyAlignment="1">
      <alignment horizontal="center" vertical="center"/>
    </xf>
    <xf numFmtId="3" fontId="12" fillId="2" borderId="1" xfId="3" applyNumberFormat="1" applyFont="1" applyFill="1" applyBorder="1" applyAlignment="1" applyProtection="1">
      <alignment horizontal="right" vertical="center"/>
      <protection locked="0"/>
    </xf>
    <xf numFmtId="0" fontId="11" fillId="2" borderId="8" xfId="0" applyFont="1" applyFill="1" applyBorder="1" applyAlignment="1">
      <alignment horizontal="center" vertical="center" wrapText="1"/>
    </xf>
    <xf numFmtId="9" fontId="11" fillId="2" borderId="7" xfId="0" applyNumberFormat="1" applyFont="1" applyFill="1" applyBorder="1" applyAlignment="1">
      <alignment horizontal="center" vertical="center"/>
    </xf>
    <xf numFmtId="9" fontId="11" fillId="2" borderId="7" xfId="0" applyNumberFormat="1" applyFont="1" applyFill="1" applyBorder="1" applyAlignment="1">
      <alignment horizontal="center" vertical="center" wrapText="1"/>
    </xf>
    <xf numFmtId="3" fontId="11" fillId="2" borderId="12" xfId="3" applyNumberFormat="1" applyFont="1" applyFill="1" applyBorder="1" applyAlignment="1" applyProtection="1">
      <alignment horizontal="center" vertical="center"/>
      <protection locked="0"/>
    </xf>
    <xf numFmtId="3" fontId="12" fillId="2" borderId="17" xfId="0" applyNumberFormat="1" applyFont="1" applyFill="1" applyBorder="1" applyAlignment="1">
      <alignment horizontal="center" vertical="center" wrapText="1"/>
    </xf>
    <xf numFmtId="0" fontId="12" fillId="2" borderId="6" xfId="0" applyFont="1" applyFill="1" applyBorder="1" applyAlignment="1">
      <alignment horizontal="center" vertical="center"/>
    </xf>
    <xf numFmtId="3" fontId="12" fillId="2" borderId="15" xfId="2" applyNumberFormat="1" applyFont="1" applyFill="1" applyBorder="1" applyAlignment="1" applyProtection="1">
      <alignment horizontal="center" vertical="center" wrapText="1"/>
      <protection locked="0"/>
    </xf>
    <xf numFmtId="9" fontId="11" fillId="2" borderId="1" xfId="0" applyNumberFormat="1" applyFont="1" applyFill="1" applyBorder="1" applyAlignment="1">
      <alignment horizontal="center" vertical="center"/>
    </xf>
    <xf numFmtId="3" fontId="12" fillId="2" borderId="12" xfId="0" applyNumberFormat="1" applyFont="1" applyFill="1" applyBorder="1" applyAlignment="1">
      <alignment horizontal="right" vertical="center"/>
    </xf>
    <xf numFmtId="10" fontId="12" fillId="2" borderId="1" xfId="0" applyNumberFormat="1" applyFont="1" applyFill="1" applyBorder="1" applyAlignment="1">
      <alignment horizontal="center" vertical="center"/>
    </xf>
    <xf numFmtId="3" fontId="12" fillId="2" borderId="12" xfId="0" applyNumberFormat="1" applyFont="1" applyFill="1" applyBorder="1" applyAlignment="1">
      <alignment horizontal="center" vertical="center"/>
    </xf>
    <xf numFmtId="3" fontId="11" fillId="2" borderId="12" xfId="0" applyNumberFormat="1" applyFont="1" applyFill="1" applyBorder="1" applyAlignment="1">
      <alignment horizontal="right" vertical="center"/>
    </xf>
    <xf numFmtId="9" fontId="11" fillId="2" borderId="12" xfId="0" applyNumberFormat="1" applyFont="1" applyFill="1" applyBorder="1" applyAlignment="1">
      <alignment horizontal="center" vertical="center" wrapText="1"/>
    </xf>
    <xf numFmtId="3" fontId="11" fillId="2" borderId="12" xfId="0" applyNumberFormat="1" applyFont="1" applyFill="1" applyBorder="1" applyAlignment="1">
      <alignment horizontal="center" vertical="center"/>
    </xf>
    <xf numFmtId="0" fontId="11" fillId="2" borderId="12" xfId="0" applyFont="1" applyFill="1" applyBorder="1" applyAlignment="1">
      <alignment horizontal="center" vertical="center" wrapText="1"/>
    </xf>
    <xf numFmtId="0" fontId="15" fillId="2" borderId="13" xfId="6" applyFont="1" applyFill="1" applyBorder="1" applyAlignment="1">
      <alignment horizontal="center" vertical="center" wrapText="1"/>
    </xf>
    <xf numFmtId="0" fontId="15" fillId="2" borderId="14" xfId="6" applyFont="1" applyFill="1" applyBorder="1" applyAlignment="1">
      <alignment horizontal="center" vertical="center" wrapText="1"/>
    </xf>
    <xf numFmtId="3" fontId="11" fillId="2" borderId="1" xfId="0" applyNumberFormat="1" applyFont="1" applyFill="1" applyBorder="1" applyAlignment="1">
      <alignment horizontal="center" vertical="center"/>
    </xf>
    <xf numFmtId="0" fontId="15" fillId="2" borderId="1" xfId="6" applyFont="1" applyFill="1" applyBorder="1" applyAlignment="1">
      <alignment horizontal="center" vertical="center" wrapText="1"/>
    </xf>
    <xf numFmtId="0" fontId="15" fillId="2" borderId="21" xfId="6" applyFont="1" applyFill="1" applyBorder="1" applyAlignment="1">
      <alignment horizontal="center" vertical="center" wrapText="1"/>
    </xf>
    <xf numFmtId="3" fontId="12" fillId="2" borderId="17" xfId="0" applyNumberFormat="1" applyFont="1" applyFill="1" applyBorder="1" applyAlignment="1">
      <alignment horizontal="center" vertical="center"/>
    </xf>
    <xf numFmtId="9" fontId="15" fillId="2" borderId="1" xfId="7" applyNumberFormat="1" applyFont="1" applyFill="1" applyBorder="1" applyAlignment="1">
      <alignment horizontal="center" vertical="center" wrapText="1"/>
    </xf>
    <xf numFmtId="9" fontId="15" fillId="2" borderId="13" xfId="0" applyNumberFormat="1" applyFont="1" applyFill="1" applyBorder="1" applyAlignment="1">
      <alignment horizontal="center" vertical="center" wrapText="1"/>
    </xf>
    <xf numFmtId="9" fontId="15" fillId="2" borderId="14" xfId="0" applyNumberFormat="1" applyFont="1" applyFill="1" applyBorder="1" applyAlignment="1">
      <alignment horizontal="center" vertical="center" wrapText="1"/>
    </xf>
    <xf numFmtId="3" fontId="11" fillId="2" borderId="15" xfId="0" applyNumberFormat="1" applyFont="1" applyFill="1" applyBorder="1" applyAlignment="1">
      <alignment horizontal="center" vertical="center"/>
    </xf>
    <xf numFmtId="0" fontId="15" fillId="2" borderId="12"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vertical="top"/>
    </xf>
    <xf numFmtId="9" fontId="12" fillId="2" borderId="12" xfId="0" applyNumberFormat="1" applyFont="1" applyFill="1" applyBorder="1" applyAlignment="1">
      <alignment horizontal="center" vertical="center" wrapText="1"/>
    </xf>
    <xf numFmtId="166" fontId="12" fillId="2" borderId="1" xfId="2"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0" fontId="11" fillId="2" borderId="1" xfId="0" applyFont="1" applyFill="1" applyBorder="1" applyAlignment="1">
      <alignment vertical="top" wrapText="1"/>
    </xf>
    <xf numFmtId="9" fontId="11" fillId="0" borderId="2" xfId="0"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0" fontId="14" fillId="0" borderId="8" xfId="0" applyFont="1" applyBorder="1"/>
    <xf numFmtId="0" fontId="14" fillId="0" borderId="12" xfId="0" applyFont="1" applyBorder="1" applyAlignment="1">
      <alignment horizontal="center" vertical="center" wrapText="1"/>
    </xf>
    <xf numFmtId="0" fontId="28" fillId="0" borderId="0" xfId="0" applyFont="1" applyAlignment="1">
      <alignment horizontal="center" vertical="center"/>
    </xf>
    <xf numFmtId="0" fontId="14" fillId="0" borderId="1" xfId="0" quotePrefix="1" applyFont="1" applyBorder="1" applyAlignment="1">
      <alignment horizontal="center" vertical="center"/>
    </xf>
    <xf numFmtId="0" fontId="11" fillId="0" borderId="8" xfId="0" applyFont="1" applyBorder="1"/>
    <xf numFmtId="164" fontId="11" fillId="0" borderId="1" xfId="2" applyNumberFormat="1" applyFont="1" applyBorder="1" applyAlignment="1">
      <alignment horizontal="center" vertical="center"/>
    </xf>
    <xf numFmtId="9" fontId="12" fillId="0" borderId="15" xfId="0" applyNumberFormat="1" applyFont="1" applyBorder="1" applyAlignment="1">
      <alignment horizontal="center" vertical="center" wrapText="1"/>
    </xf>
    <xf numFmtId="0" fontId="12" fillId="2" borderId="12" xfId="0" applyFont="1" applyFill="1" applyBorder="1" applyAlignment="1">
      <alignment vertical="center" wrapText="1"/>
    </xf>
    <xf numFmtId="0" fontId="11" fillId="2" borderId="12" xfId="0" applyFont="1" applyFill="1" applyBorder="1" applyAlignment="1">
      <alignment horizontal="left" vertical="top" wrapText="1"/>
    </xf>
    <xf numFmtId="0" fontId="12" fillId="2" borderId="12" xfId="0" applyFont="1" applyFill="1" applyBorder="1" applyAlignment="1">
      <alignment vertical="top" wrapText="1"/>
    </xf>
    <xf numFmtId="0" fontId="16" fillId="2" borderId="12" xfId="0" applyFont="1" applyFill="1" applyBorder="1" applyAlignment="1">
      <alignment horizontal="left" vertical="top" wrapText="1"/>
    </xf>
    <xf numFmtId="0" fontId="12" fillId="2" borderId="12" xfId="0" applyFont="1" applyFill="1" applyBorder="1" applyAlignment="1">
      <alignment horizontal="left" vertical="top" wrapText="1"/>
    </xf>
    <xf numFmtId="41" fontId="11" fillId="0" borderId="0" xfId="0" applyNumberFormat="1" applyFont="1" applyAlignment="1">
      <alignment horizontal="center" vertical="center"/>
    </xf>
    <xf numFmtId="41" fontId="11" fillId="0" borderId="4" xfId="0" applyNumberFormat="1" applyFont="1" applyBorder="1" applyAlignment="1">
      <alignment horizontal="center" vertical="center"/>
    </xf>
    <xf numFmtId="41" fontId="11" fillId="0" borderId="12" xfId="0" applyNumberFormat="1" applyFont="1" applyBorder="1" applyAlignment="1">
      <alignment horizontal="center" vertical="center" wrapText="1"/>
    </xf>
    <xf numFmtId="0" fontId="18" fillId="0" borderId="13" xfId="0" applyFont="1" applyBorder="1" applyAlignment="1">
      <alignment horizontal="center" vertical="center" wrapText="1"/>
    </xf>
    <xf numFmtId="4" fontId="11" fillId="0" borderId="13" xfId="2" applyNumberFormat="1" applyFont="1" applyFill="1" applyBorder="1" applyAlignment="1" applyProtection="1">
      <alignment horizontal="right" vertical="center" wrapText="1"/>
      <protection locked="0"/>
    </xf>
    <xf numFmtId="0" fontId="11" fillId="0" borderId="13" xfId="0" applyFont="1" applyBorder="1" applyAlignment="1">
      <alignment horizontal="center" vertical="center" wrapText="1"/>
    </xf>
    <xf numFmtId="4" fontId="11" fillId="0" borderId="13" xfId="2" applyNumberFormat="1" applyFont="1" applyFill="1" applyBorder="1" applyAlignment="1" applyProtection="1">
      <alignment vertical="center" wrapText="1"/>
      <protection locked="0"/>
    </xf>
    <xf numFmtId="4" fontId="11" fillId="0" borderId="21" xfId="2" applyNumberFormat="1" applyFont="1" applyFill="1" applyBorder="1" applyAlignment="1" applyProtection="1">
      <alignment vertical="center" wrapText="1"/>
      <protection locked="0"/>
    </xf>
    <xf numFmtId="41" fontId="11" fillId="0" borderId="14" xfId="2" applyNumberFormat="1" applyFont="1" applyFill="1" applyBorder="1" applyAlignment="1" applyProtection="1">
      <alignment vertical="center" wrapText="1"/>
      <protection locked="0"/>
    </xf>
    <xf numFmtId="41" fontId="11" fillId="0" borderId="15" xfId="2" applyNumberFormat="1" applyFont="1" applyFill="1" applyBorder="1" applyAlignment="1" applyProtection="1">
      <alignment vertical="center" wrapText="1"/>
      <protection locked="0"/>
    </xf>
    <xf numFmtId="41" fontId="11" fillId="0" borderId="13" xfId="2" applyNumberFormat="1" applyFont="1" applyFill="1" applyBorder="1" applyAlignment="1" applyProtection="1">
      <alignment vertical="center" wrapText="1"/>
      <protection locked="0"/>
    </xf>
    <xf numFmtId="41" fontId="12" fillId="0" borderId="1" xfId="2" applyNumberFormat="1" applyFont="1" applyBorder="1" applyAlignment="1">
      <alignment horizontal="center" vertical="center"/>
    </xf>
    <xf numFmtId="166" fontId="25" fillId="0" borderId="1" xfId="0" applyNumberFormat="1" applyFont="1" applyBorder="1" applyAlignment="1">
      <alignment horizontal="center" vertical="center"/>
    </xf>
    <xf numFmtId="9" fontId="11" fillId="0" borderId="12" xfId="2" applyNumberFormat="1" applyFont="1" applyBorder="1" applyAlignment="1">
      <alignment horizontal="center" vertical="center"/>
    </xf>
    <xf numFmtId="41" fontId="11" fillId="0" borderId="24" xfId="0" applyNumberFormat="1" applyFont="1" applyBorder="1" applyAlignment="1">
      <alignment horizontal="center" vertical="center"/>
    </xf>
    <xf numFmtId="3" fontId="25" fillId="0" borderId="12" xfId="0" applyNumberFormat="1" applyFont="1" applyBorder="1" applyAlignment="1">
      <alignment vertical="center"/>
    </xf>
    <xf numFmtId="166" fontId="11" fillId="0" borderId="1" xfId="2" applyNumberFormat="1" applyFont="1" applyBorder="1" applyAlignment="1">
      <alignment horizontal="center" vertical="center" wrapText="1"/>
    </xf>
    <xf numFmtId="166" fontId="11" fillId="0" borderId="27" xfId="2" applyNumberFormat="1"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left" vertical="top" wrapText="1"/>
    </xf>
    <xf numFmtId="4" fontId="11" fillId="0" borderId="1" xfId="2" applyNumberFormat="1" applyFont="1" applyFill="1" applyBorder="1" applyAlignment="1" applyProtection="1">
      <alignment horizontal="right" vertical="center" wrapText="1"/>
      <protection locked="0"/>
    </xf>
    <xf numFmtId="166" fontId="29" fillId="0" borderId="12" xfId="2" applyNumberFormat="1" applyFont="1" applyFill="1" applyBorder="1" applyAlignment="1">
      <alignment horizontal="center" vertical="center" wrapText="1"/>
    </xf>
    <xf numFmtId="0" fontId="30" fillId="0" borderId="15" xfId="0" applyFont="1" applyBorder="1" applyAlignment="1">
      <alignment vertical="top" wrapText="1"/>
    </xf>
    <xf numFmtId="41" fontId="11" fillId="0" borderId="0" xfId="0" applyNumberFormat="1" applyFont="1" applyAlignment="1">
      <alignment horizontal="right" vertical="center"/>
    </xf>
    <xf numFmtId="3" fontId="11" fillId="2" borderId="17" xfId="0" applyNumberFormat="1" applyFont="1" applyFill="1" applyBorder="1" applyAlignment="1">
      <alignment horizontal="center" vertical="center"/>
    </xf>
    <xf numFmtId="3" fontId="12" fillId="0" borderId="15" xfId="0" applyNumberFormat="1" applyFont="1" applyBorder="1" applyAlignment="1">
      <alignment horizontal="center" vertical="center"/>
    </xf>
    <xf numFmtId="0" fontId="11" fillId="2" borderId="17" xfId="0" applyFont="1" applyFill="1" applyBorder="1" applyAlignment="1">
      <alignment horizontal="center" vertical="center" wrapText="1"/>
    </xf>
    <xf numFmtId="0" fontId="25" fillId="0" borderId="15" xfId="6" applyFont="1" applyBorder="1" applyAlignment="1">
      <alignment horizontal="left" vertical="top" wrapText="1"/>
    </xf>
    <xf numFmtId="0" fontId="25" fillId="0" borderId="15" xfId="6" applyFont="1" applyBorder="1" applyAlignment="1">
      <alignment horizontal="center" vertical="center" wrapText="1"/>
    </xf>
    <xf numFmtId="0" fontId="15" fillId="0" borderId="12" xfId="6" applyFont="1" applyBorder="1" applyAlignment="1">
      <alignment horizontal="left" vertical="top" wrapText="1"/>
    </xf>
    <xf numFmtId="0" fontId="15" fillId="0" borderId="12" xfId="6" applyFont="1" applyBorder="1" applyAlignment="1">
      <alignment horizontal="center" vertical="top" wrapText="1"/>
    </xf>
    <xf numFmtId="165" fontId="12" fillId="0" borderId="5" xfId="0" applyNumberFormat="1" applyFont="1" applyBorder="1" applyAlignment="1">
      <alignment horizontal="center" vertical="center"/>
    </xf>
    <xf numFmtId="0" fontId="15" fillId="0" borderId="1" xfId="8" applyFont="1" applyBorder="1" applyAlignment="1">
      <alignment horizontal="left" vertical="top" wrapText="1"/>
    </xf>
    <xf numFmtId="9" fontId="15" fillId="0" borderId="1" xfId="0" applyNumberFormat="1" applyFont="1" applyBorder="1" applyAlignment="1">
      <alignment horizontal="center" vertical="center" wrapText="1"/>
    </xf>
    <xf numFmtId="166" fontId="25" fillId="0" borderId="1" xfId="2" applyNumberFormat="1" applyFont="1" applyBorder="1" applyAlignment="1">
      <alignment horizontal="center" vertical="center"/>
    </xf>
    <xf numFmtId="0" fontId="0" fillId="0" borderId="28" xfId="0" applyBorder="1" applyAlignment="1">
      <alignment horizontal="center" vertical="center"/>
    </xf>
    <xf numFmtId="166" fontId="25" fillId="0" borderId="12" xfId="2" applyNumberFormat="1" applyFont="1" applyBorder="1" applyAlignment="1">
      <alignment horizontal="center" vertical="center"/>
    </xf>
    <xf numFmtId="1" fontId="11" fillId="0" borderId="12" xfId="0" applyNumberFormat="1" applyFont="1" applyBorder="1" applyAlignment="1">
      <alignment horizontal="center" vertical="center" wrapText="1"/>
    </xf>
    <xf numFmtId="166" fontId="11" fillId="0" borderId="29" xfId="2" applyNumberFormat="1" applyFont="1" applyBorder="1" applyAlignment="1">
      <alignment horizontal="center" vertical="center"/>
    </xf>
    <xf numFmtId="41" fontId="11" fillId="0" borderId="13" xfId="2" applyNumberFormat="1" applyFont="1" applyFill="1" applyBorder="1" applyAlignment="1" applyProtection="1">
      <alignment horizontal="right" vertical="center" wrapText="1"/>
      <protection locked="0"/>
    </xf>
    <xf numFmtId="0" fontId="31" fillId="0" borderId="0" xfId="0" applyFont="1" applyAlignment="1">
      <alignment vertical="top"/>
    </xf>
    <xf numFmtId="0" fontId="31" fillId="0" borderId="0" xfId="0" applyFont="1" applyAlignment="1">
      <alignment horizontal="center" vertical="top"/>
    </xf>
    <xf numFmtId="0" fontId="32" fillId="0" borderId="0" xfId="0" applyFont="1" applyAlignment="1">
      <alignment horizontal="center" vertical="top"/>
    </xf>
    <xf numFmtId="41" fontId="25" fillId="0" borderId="1" xfId="1" applyFont="1" applyBorder="1" applyAlignment="1">
      <alignment vertical="top"/>
    </xf>
    <xf numFmtId="41" fontId="33" fillId="0" borderId="1" xfId="0" applyNumberFormat="1" applyFont="1" applyBorder="1"/>
    <xf numFmtId="0" fontId="11" fillId="0" borderId="17" xfId="0" applyFont="1" applyBorder="1" applyAlignment="1">
      <alignment horizontal="center" vertical="center" wrapText="1"/>
    </xf>
    <xf numFmtId="3" fontId="11" fillId="2" borderId="12" xfId="1" applyNumberFormat="1" applyFont="1" applyFill="1" applyBorder="1" applyAlignment="1">
      <alignment horizontal="center" vertical="center"/>
    </xf>
    <xf numFmtId="166" fontId="11" fillId="0" borderId="12" xfId="2" applyNumberFormat="1" applyFont="1" applyBorder="1" applyAlignment="1">
      <alignment horizontal="center" vertical="center"/>
    </xf>
    <xf numFmtId="3" fontId="12" fillId="2" borderId="17" xfId="1" applyNumberFormat="1" applyFont="1" applyFill="1" applyBorder="1" applyAlignment="1">
      <alignment horizontal="center" vertical="center" wrapText="1"/>
    </xf>
    <xf numFmtId="3" fontId="11" fillId="2" borderId="12" xfId="1" applyNumberFormat="1" applyFont="1" applyFill="1" applyBorder="1" applyAlignment="1">
      <alignment horizontal="center" vertical="center" wrapText="1"/>
    </xf>
    <xf numFmtId="9" fontId="25" fillId="0" borderId="18" xfId="0" applyNumberFormat="1" applyFont="1" applyBorder="1" applyAlignment="1">
      <alignment horizontal="center" vertical="center" wrapText="1"/>
    </xf>
    <xf numFmtId="0" fontId="25" fillId="0" borderId="15" xfId="0" applyFont="1" applyBorder="1" applyAlignment="1">
      <alignment horizontal="left" vertical="top" wrapText="1"/>
    </xf>
    <xf numFmtId="9" fontId="25" fillId="0" borderId="1" xfId="0" applyNumberFormat="1" applyFont="1" applyBorder="1" applyAlignment="1">
      <alignment horizontal="center" vertical="center" wrapText="1"/>
    </xf>
    <xf numFmtId="166" fontId="11" fillId="0" borderId="15" xfId="2" applyNumberFormat="1" applyFont="1" applyBorder="1" applyAlignment="1">
      <alignment horizontal="center" vertical="center"/>
    </xf>
    <xf numFmtId="3" fontId="11" fillId="0" borderId="15" xfId="0" applyNumberFormat="1" applyFont="1" applyBorder="1" applyAlignment="1">
      <alignment horizontal="center" vertical="center"/>
    </xf>
    <xf numFmtId="41" fontId="11" fillId="0" borderId="15" xfId="0" applyNumberFormat="1" applyFont="1" applyBorder="1" applyAlignment="1">
      <alignment horizontal="center" vertical="center"/>
    </xf>
    <xf numFmtId="3" fontId="12" fillId="2" borderId="12" xfId="0" applyNumberFormat="1" applyFont="1" applyFill="1" applyBorder="1" applyAlignment="1">
      <alignment horizontal="center" vertical="center"/>
    </xf>
    <xf numFmtId="41" fontId="11" fillId="0" borderId="15" xfId="0" applyNumberFormat="1" applyFont="1" applyBorder="1" applyAlignment="1">
      <alignment horizontal="center" vertical="center" wrapText="1"/>
    </xf>
    <xf numFmtId="9" fontId="11" fillId="0" borderId="15" xfId="0" quotePrefix="1" applyNumberFormat="1" applyFont="1" applyBorder="1" applyAlignment="1">
      <alignment horizontal="center" vertical="center"/>
    </xf>
    <xf numFmtId="0" fontId="15" fillId="0" borderId="21" xfId="9" applyBorder="1" applyAlignment="1">
      <alignment horizontal="left" vertical="top" wrapText="1"/>
    </xf>
    <xf numFmtId="0" fontId="15" fillId="0" borderId="21" xfId="9" applyBorder="1" applyAlignment="1">
      <alignment horizontal="center" vertical="center" wrapText="1"/>
    </xf>
    <xf numFmtId="0" fontId="15" fillId="0" borderId="1" xfId="9" applyBorder="1" applyAlignment="1">
      <alignment horizontal="left" vertical="top" wrapText="1"/>
    </xf>
    <xf numFmtId="0" fontId="0" fillId="0" borderId="1" xfId="0" applyBorder="1" applyAlignment="1">
      <alignment horizontal="center" vertical="center" wrapText="1"/>
    </xf>
    <xf numFmtId="41" fontId="11" fillId="0" borderId="17"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9" fontId="12" fillId="0" borderId="15" xfId="0" applyNumberFormat="1" applyFont="1" applyBorder="1" applyAlignment="1">
      <alignment horizontal="center" vertical="center"/>
    </xf>
    <xf numFmtId="10" fontId="11" fillId="0" borderId="1" xfId="0" applyNumberFormat="1" applyFont="1" applyBorder="1" applyAlignment="1">
      <alignment horizontal="center" vertical="center" wrapText="1"/>
    </xf>
    <xf numFmtId="0" fontId="12" fillId="0" borderId="15" xfId="0" applyFont="1" applyBorder="1" applyAlignment="1">
      <alignment horizontal="center" vertical="center" wrapText="1"/>
    </xf>
    <xf numFmtId="166" fontId="11" fillId="2" borderId="1" xfId="2" applyNumberFormat="1" applyFont="1" applyFill="1" applyBorder="1" applyAlignment="1">
      <alignment horizontal="center" vertical="center"/>
    </xf>
    <xf numFmtId="1" fontId="11" fillId="0" borderId="1" xfId="0" applyNumberFormat="1" applyFont="1" applyBorder="1" applyAlignment="1">
      <alignment horizontal="center" vertical="center" wrapText="1"/>
    </xf>
    <xf numFmtId="9" fontId="12" fillId="0" borderId="1" xfId="2" applyNumberFormat="1" applyFont="1" applyBorder="1" applyAlignment="1">
      <alignment horizontal="center" vertical="center"/>
    </xf>
    <xf numFmtId="3" fontId="11" fillId="0" borderId="15" xfId="0" applyNumberFormat="1" applyFont="1" applyBorder="1" applyAlignment="1">
      <alignment horizontal="center" vertical="center"/>
    </xf>
    <xf numFmtId="3" fontId="11" fillId="0" borderId="12" xfId="0" applyNumberFormat="1" applyFont="1" applyBorder="1" applyAlignment="1">
      <alignment horizontal="center" vertical="center"/>
    </xf>
    <xf numFmtId="0" fontId="11" fillId="0" borderId="15" xfId="0" applyFont="1" applyBorder="1" applyAlignment="1">
      <alignment horizontal="left" vertical="top" wrapText="1"/>
    </xf>
    <xf numFmtId="0" fontId="11" fillId="0" borderId="17" xfId="0" applyFont="1" applyBorder="1" applyAlignment="1">
      <alignment horizontal="left" vertical="top" wrapText="1"/>
    </xf>
    <xf numFmtId="0" fontId="11" fillId="0" borderId="12" xfId="0" applyFont="1" applyBorder="1" applyAlignment="1">
      <alignment horizontal="left" vertical="top" wrapText="1"/>
    </xf>
    <xf numFmtId="3" fontId="11" fillId="2" borderId="17" xfId="1" applyNumberFormat="1" applyFont="1" applyFill="1" applyBorder="1" applyAlignment="1">
      <alignment horizontal="center" vertical="center"/>
    </xf>
    <xf numFmtId="3" fontId="11" fillId="2" borderId="12" xfId="1" applyNumberFormat="1" applyFont="1" applyFill="1" applyBorder="1" applyAlignment="1">
      <alignment horizontal="center" vertical="center"/>
    </xf>
    <xf numFmtId="166" fontId="11" fillId="0" borderId="15" xfId="2" applyNumberFormat="1" applyFont="1" applyFill="1" applyBorder="1" applyAlignment="1">
      <alignment horizontal="center" vertical="center" wrapText="1"/>
    </xf>
    <xf numFmtId="166" fontId="11" fillId="0" borderId="17" xfId="2" applyNumberFormat="1" applyFont="1" applyFill="1" applyBorder="1" applyAlignment="1">
      <alignment horizontal="center" vertical="center" wrapText="1"/>
    </xf>
    <xf numFmtId="166" fontId="11" fillId="0" borderId="12"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1" fillId="0" borderId="17" xfId="2" applyNumberFormat="1" applyFont="1" applyBorder="1" applyAlignment="1">
      <alignment horizontal="center" vertical="center" wrapText="1"/>
    </xf>
    <xf numFmtId="166" fontId="11" fillId="0" borderId="12" xfId="2" applyNumberFormat="1" applyFont="1" applyBorder="1" applyAlignment="1">
      <alignment horizontal="center" vertical="center" wrapText="1"/>
    </xf>
    <xf numFmtId="41" fontId="11" fillId="0" borderId="15" xfId="0" applyNumberFormat="1" applyFont="1" applyBorder="1" applyAlignment="1">
      <alignment horizontal="center" vertical="center"/>
    </xf>
    <xf numFmtId="41" fontId="11" fillId="0" borderId="17" xfId="0" applyNumberFormat="1" applyFont="1" applyBorder="1" applyAlignment="1">
      <alignment horizontal="center" vertical="center"/>
    </xf>
    <xf numFmtId="41" fontId="11" fillId="0" borderId="12" xfId="0" applyNumberFormat="1" applyFont="1" applyBorder="1" applyAlignment="1">
      <alignment horizontal="center" vertical="center"/>
    </xf>
    <xf numFmtId="41" fontId="11" fillId="0" borderId="15" xfId="0" applyNumberFormat="1" applyFont="1" applyBorder="1" applyAlignment="1">
      <alignment horizontal="center" vertical="center" wrapText="1"/>
    </xf>
    <xf numFmtId="41" fontId="11" fillId="0" borderId="17" xfId="0" applyNumberFormat="1" applyFont="1" applyBorder="1" applyAlignment="1">
      <alignment horizontal="center" vertical="center" wrapText="1"/>
    </xf>
    <xf numFmtId="41" fontId="11" fillId="0" borderId="12" xfId="0" applyNumberFormat="1" applyFont="1" applyBorder="1" applyAlignment="1">
      <alignment horizontal="center" vertical="center" wrapText="1"/>
    </xf>
    <xf numFmtId="0" fontId="11" fillId="0" borderId="17" xfId="0" applyFont="1" applyBorder="1" applyAlignment="1">
      <alignment horizontal="center" vertical="center" wrapText="1"/>
    </xf>
    <xf numFmtId="0" fontId="11" fillId="0" borderId="12" xfId="0" applyFont="1" applyBorder="1" applyAlignment="1">
      <alignment horizontal="center" vertical="center" wrapText="1"/>
    </xf>
    <xf numFmtId="3" fontId="12" fillId="2" borderId="15" xfId="0" applyNumberFormat="1" applyFont="1" applyFill="1" applyBorder="1" applyAlignment="1">
      <alignment horizontal="center" vertical="center"/>
    </xf>
    <xf numFmtId="3" fontId="12" fillId="2" borderId="17" xfId="0" applyNumberFormat="1" applyFont="1" applyFill="1" applyBorder="1" applyAlignment="1">
      <alignment horizontal="center" vertical="center"/>
    </xf>
    <xf numFmtId="3" fontId="12" fillId="2" borderId="12" xfId="0" applyNumberFormat="1" applyFont="1" applyFill="1" applyBorder="1" applyAlignment="1">
      <alignment horizontal="center" vertical="center"/>
    </xf>
    <xf numFmtId="166" fontId="12" fillId="0" borderId="15" xfId="0" quotePrefix="1" applyNumberFormat="1" applyFont="1" applyBorder="1" applyAlignment="1">
      <alignment horizontal="center" vertical="center"/>
    </xf>
    <xf numFmtId="0" fontId="12" fillId="0" borderId="17" xfId="0" quotePrefix="1" applyFont="1" applyBorder="1" applyAlignment="1">
      <alignment horizontal="center" vertical="center"/>
    </xf>
    <xf numFmtId="0" fontId="12" fillId="0" borderId="12" xfId="0" quotePrefix="1" applyFont="1" applyBorder="1" applyAlignment="1">
      <alignment horizontal="center" vertical="center"/>
    </xf>
    <xf numFmtId="41" fontId="12" fillId="0" borderId="15" xfId="0" quotePrefix="1" applyNumberFormat="1" applyFont="1" applyBorder="1" applyAlignment="1">
      <alignment horizontal="center" vertical="center"/>
    </xf>
    <xf numFmtId="41" fontId="12" fillId="0" borderId="17" xfId="0" quotePrefix="1" applyNumberFormat="1" applyFont="1" applyBorder="1" applyAlignment="1">
      <alignment horizontal="center" vertical="center"/>
    </xf>
    <xf numFmtId="41" fontId="12" fillId="0" borderId="12" xfId="0" quotePrefix="1" applyNumberFormat="1" applyFont="1" applyBorder="1" applyAlignment="1">
      <alignment horizontal="center" vertical="center"/>
    </xf>
    <xf numFmtId="3" fontId="11" fillId="2" borderId="15" xfId="0" applyNumberFormat="1" applyFont="1" applyFill="1" applyBorder="1" applyAlignment="1">
      <alignment horizontal="center" vertical="center"/>
    </xf>
    <xf numFmtId="3" fontId="11" fillId="2" borderId="17" xfId="0" applyNumberFormat="1" applyFont="1" applyFill="1" applyBorder="1" applyAlignment="1">
      <alignment horizontal="center" vertical="center"/>
    </xf>
    <xf numFmtId="3" fontId="11" fillId="2" borderId="12" xfId="0" applyNumberFormat="1" applyFont="1" applyFill="1" applyBorder="1" applyAlignment="1">
      <alignment horizontal="center" vertical="center"/>
    </xf>
    <xf numFmtId="166" fontId="11" fillId="0" borderId="15" xfId="2" applyNumberFormat="1" applyFont="1" applyBorder="1" applyAlignment="1">
      <alignment horizontal="center" vertical="center"/>
    </xf>
    <xf numFmtId="166" fontId="11" fillId="0" borderId="17" xfId="2" applyNumberFormat="1" applyFont="1" applyBorder="1" applyAlignment="1">
      <alignment horizontal="center" vertical="center"/>
    </xf>
    <xf numFmtId="166" fontId="11" fillId="0" borderId="12" xfId="2" applyNumberFormat="1" applyFont="1" applyBorder="1" applyAlignment="1">
      <alignment horizontal="center" vertical="center"/>
    </xf>
    <xf numFmtId="3" fontId="11" fillId="0" borderId="17" xfId="0" applyNumberFormat="1" applyFont="1" applyBorder="1" applyAlignment="1">
      <alignment horizontal="center" vertical="center"/>
    </xf>
    <xf numFmtId="166" fontId="11" fillId="0" borderId="15" xfId="0" applyNumberFormat="1" applyFont="1" applyBorder="1" applyAlignment="1">
      <alignment horizontal="center" vertical="center"/>
    </xf>
    <xf numFmtId="166" fontId="11" fillId="0" borderId="12" xfId="0" applyNumberFormat="1" applyFont="1" applyBorder="1" applyAlignment="1">
      <alignment horizontal="center" vertical="center"/>
    </xf>
    <xf numFmtId="3" fontId="11" fillId="2" borderId="15" xfId="1" applyNumberFormat="1" applyFont="1" applyFill="1" applyBorder="1" applyAlignment="1">
      <alignment horizontal="center" vertical="center"/>
    </xf>
    <xf numFmtId="166" fontId="11" fillId="2" borderId="15" xfId="2" applyNumberFormat="1" applyFont="1" applyFill="1" applyBorder="1" applyAlignment="1">
      <alignment horizontal="center" vertical="center" wrapText="1"/>
    </xf>
    <xf numFmtId="166" fontId="11" fillId="2" borderId="17" xfId="2" applyNumberFormat="1" applyFont="1" applyFill="1" applyBorder="1" applyAlignment="1">
      <alignment horizontal="center" vertical="center" wrapText="1"/>
    </xf>
    <xf numFmtId="166" fontId="11" fillId="2" borderId="12" xfId="2" applyNumberFormat="1" applyFont="1" applyFill="1" applyBorder="1" applyAlignment="1">
      <alignment horizontal="center" vertical="center" wrapText="1"/>
    </xf>
    <xf numFmtId="166" fontId="11" fillId="0" borderId="17" xfId="0" applyNumberFormat="1" applyFont="1" applyBorder="1" applyAlignment="1">
      <alignment horizontal="center" vertical="center"/>
    </xf>
    <xf numFmtId="165" fontId="11" fillId="0" borderId="15" xfId="0" applyNumberFormat="1" applyFont="1" applyBorder="1" applyAlignment="1">
      <alignment horizontal="center" vertical="center"/>
    </xf>
    <xf numFmtId="165" fontId="11" fillId="0" borderId="12" xfId="0" applyNumberFormat="1" applyFont="1" applyBorder="1" applyAlignment="1">
      <alignment horizontal="center" vertical="center"/>
    </xf>
    <xf numFmtId="166" fontId="10" fillId="0" borderId="15" xfId="2" applyNumberFormat="1" applyFont="1" applyBorder="1" applyAlignment="1">
      <alignment vertical="center"/>
    </xf>
    <xf numFmtId="166" fontId="10" fillId="0" borderId="12" xfId="2" applyNumberFormat="1" applyFont="1" applyBorder="1" applyAlignment="1">
      <alignment vertical="center"/>
    </xf>
    <xf numFmtId="3" fontId="12" fillId="0" borderId="15"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12" fillId="0" borderId="12"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7" xfId="0" applyFont="1" applyBorder="1" applyAlignment="1">
      <alignment horizontal="center" vertical="top" wrapText="1"/>
    </xf>
    <xf numFmtId="3" fontId="11" fillId="0" borderId="15" xfId="2" applyNumberFormat="1" applyFont="1" applyFill="1" applyBorder="1" applyAlignment="1" applyProtection="1">
      <alignment horizontal="center" vertical="center" wrapText="1"/>
      <protection locked="0"/>
    </xf>
    <xf numFmtId="3" fontId="11" fillId="0" borderId="12" xfId="2" applyNumberFormat="1" applyFont="1" applyFill="1" applyBorder="1" applyAlignment="1" applyProtection="1">
      <alignment horizontal="center" vertical="center" wrapText="1"/>
      <protection locked="0"/>
    </xf>
    <xf numFmtId="3" fontId="15" fillId="0" borderId="15"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1" fillId="2" borderId="15" xfId="0" applyNumberFormat="1" applyFont="1" applyFill="1" applyBorder="1" applyAlignment="1">
      <alignment horizontal="center" vertical="center" wrapText="1"/>
    </xf>
    <xf numFmtId="3" fontId="11" fillId="2" borderId="17" xfId="0" applyNumberFormat="1" applyFont="1" applyFill="1" applyBorder="1" applyAlignment="1">
      <alignment horizontal="center" vertical="center" wrapText="1"/>
    </xf>
    <xf numFmtId="3" fontId="11" fillId="2" borderId="12" xfId="0" applyNumberFormat="1" applyFont="1" applyFill="1" applyBorder="1" applyAlignment="1">
      <alignment horizontal="center" vertical="center" wrapText="1"/>
    </xf>
    <xf numFmtId="0" fontId="11" fillId="0" borderId="15" xfId="0" applyFont="1" applyBorder="1" applyAlignment="1">
      <alignment horizontal="center" vertical="center" wrapText="1"/>
    </xf>
    <xf numFmtId="165" fontId="11" fillId="0" borderId="17" xfId="0" applyNumberFormat="1" applyFont="1" applyBorder="1" applyAlignment="1">
      <alignment horizontal="center" vertical="center"/>
    </xf>
    <xf numFmtId="41" fontId="12" fillId="0" borderId="15"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2" xfId="0" applyFont="1" applyBorder="1" applyAlignment="1">
      <alignment horizontal="center" vertical="center"/>
    </xf>
    <xf numFmtId="41" fontId="12" fillId="0" borderId="15" xfId="0" applyNumberFormat="1" applyFont="1" applyBorder="1" applyAlignment="1">
      <alignment horizontal="center" vertical="center" wrapText="1"/>
    </xf>
    <xf numFmtId="41" fontId="12" fillId="0" borderId="17" xfId="0" applyNumberFormat="1" applyFont="1" applyBorder="1" applyAlignment="1">
      <alignment horizontal="center" vertical="center" wrapText="1"/>
    </xf>
    <xf numFmtId="41" fontId="12" fillId="0" borderId="12" xfId="0" applyNumberFormat="1" applyFont="1" applyBorder="1" applyAlignment="1">
      <alignment horizontal="center" vertical="center" wrapText="1"/>
    </xf>
    <xf numFmtId="166" fontId="12" fillId="2" borderId="15" xfId="0" applyNumberFormat="1" applyFont="1" applyFill="1" applyBorder="1" applyAlignment="1">
      <alignment horizontal="center" vertical="center"/>
    </xf>
    <xf numFmtId="166" fontId="12" fillId="2" borderId="12" xfId="0" applyNumberFormat="1" applyFont="1" applyFill="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166" fontId="11" fillId="2" borderId="15" xfId="0" applyNumberFormat="1" applyFont="1" applyFill="1" applyBorder="1" applyAlignment="1">
      <alignment horizontal="center" vertical="center"/>
    </xf>
    <xf numFmtId="166" fontId="11" fillId="2" borderId="12" xfId="0" applyNumberFormat="1" applyFont="1" applyFill="1" applyBorder="1" applyAlignment="1">
      <alignment horizontal="center" vertical="center"/>
    </xf>
    <xf numFmtId="166" fontId="11" fillId="2" borderId="15" xfId="2" applyNumberFormat="1" applyFont="1" applyFill="1" applyBorder="1" applyAlignment="1">
      <alignment horizontal="center" vertical="center"/>
    </xf>
    <xf numFmtId="166" fontId="11" fillId="2" borderId="17" xfId="2" applyNumberFormat="1" applyFont="1" applyFill="1" applyBorder="1" applyAlignment="1">
      <alignment horizontal="center" vertical="center"/>
    </xf>
    <xf numFmtId="166" fontId="11" fillId="2" borderId="12" xfId="2" applyNumberFormat="1" applyFont="1" applyFill="1" applyBorder="1" applyAlignment="1">
      <alignment horizontal="center" vertical="center"/>
    </xf>
    <xf numFmtId="166" fontId="11" fillId="0" borderId="15" xfId="0" applyNumberFormat="1" applyFont="1" applyBorder="1" applyAlignment="1">
      <alignment horizontal="center" vertical="center" wrapText="1"/>
    </xf>
    <xf numFmtId="41" fontId="11" fillId="2" borderId="15" xfId="0" applyNumberFormat="1" applyFont="1" applyFill="1" applyBorder="1" applyAlignment="1">
      <alignment horizontal="center" vertical="center" wrapText="1"/>
    </xf>
    <xf numFmtId="41" fontId="11" fillId="2" borderId="17" xfId="0" applyNumberFormat="1" applyFont="1" applyFill="1" applyBorder="1" applyAlignment="1">
      <alignment horizontal="center" vertical="center" wrapText="1"/>
    </xf>
    <xf numFmtId="41" fontId="11" fillId="2" borderId="12" xfId="0" applyNumberFormat="1" applyFont="1" applyFill="1" applyBorder="1" applyAlignment="1">
      <alignment horizontal="center" vertical="center" wrapText="1"/>
    </xf>
    <xf numFmtId="166" fontId="11" fillId="0" borderId="15" xfId="2" applyNumberFormat="1" applyFont="1" applyFill="1" applyBorder="1" applyAlignment="1">
      <alignment horizontal="center" vertical="center"/>
    </xf>
    <xf numFmtId="166" fontId="11" fillId="0" borderId="17" xfId="2" applyNumberFormat="1" applyFont="1" applyFill="1" applyBorder="1" applyAlignment="1">
      <alignment horizontal="center" vertical="center"/>
    </xf>
    <xf numFmtId="166" fontId="11" fillId="0" borderId="12" xfId="2" applyNumberFormat="1" applyFont="1" applyFill="1" applyBorder="1" applyAlignment="1">
      <alignment horizontal="center" vertical="center"/>
    </xf>
    <xf numFmtId="166" fontId="12" fillId="2" borderId="15" xfId="2" applyNumberFormat="1" applyFont="1" applyFill="1" applyBorder="1" applyAlignment="1">
      <alignment horizontal="center" vertical="center" wrapText="1"/>
    </xf>
    <xf numFmtId="166" fontId="12" fillId="2" borderId="17" xfId="2" applyNumberFormat="1" applyFont="1" applyFill="1" applyBorder="1" applyAlignment="1">
      <alignment horizontal="center" vertical="center" wrapText="1"/>
    </xf>
    <xf numFmtId="166" fontId="11" fillId="0" borderId="25" xfId="2" applyNumberFormat="1" applyFont="1" applyBorder="1" applyAlignment="1">
      <alignment horizontal="center" vertical="center" wrapText="1"/>
    </xf>
    <xf numFmtId="166" fontId="11" fillId="0" borderId="26" xfId="2" applyNumberFormat="1" applyFont="1" applyBorder="1" applyAlignment="1">
      <alignment horizontal="center" vertical="center" wrapText="1"/>
    </xf>
    <xf numFmtId="166" fontId="12" fillId="0" borderId="15" xfId="2" applyNumberFormat="1" applyFont="1" applyBorder="1" applyAlignment="1">
      <alignment horizontal="center" vertical="center"/>
    </xf>
    <xf numFmtId="166" fontId="12" fillId="0" borderId="17" xfId="2" applyNumberFormat="1" applyFont="1" applyBorder="1" applyAlignment="1">
      <alignment horizontal="center" vertical="center"/>
    </xf>
    <xf numFmtId="166" fontId="11" fillId="0" borderId="15" xfId="2" applyNumberFormat="1" applyFont="1" applyBorder="1" applyAlignment="1">
      <alignment vertical="center"/>
    </xf>
    <xf numFmtId="166" fontId="11" fillId="0" borderId="12" xfId="2" applyNumberFormat="1" applyFont="1" applyBorder="1" applyAlignment="1">
      <alignment vertical="center"/>
    </xf>
    <xf numFmtId="3" fontId="11" fillId="0" borderId="17" xfId="2" applyNumberFormat="1" applyFont="1" applyFill="1" applyBorder="1" applyAlignment="1" applyProtection="1">
      <alignment horizontal="center" vertical="center" wrapText="1"/>
      <protection locked="0"/>
    </xf>
    <xf numFmtId="3" fontId="11" fillId="2" borderId="15" xfId="2" applyNumberFormat="1" applyFont="1" applyFill="1" applyBorder="1" applyAlignment="1" applyProtection="1">
      <alignment horizontal="center" vertical="center" wrapText="1"/>
      <protection locked="0"/>
    </xf>
    <xf numFmtId="3" fontId="11" fillId="2" borderId="12" xfId="2" applyNumberFormat="1"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3" fontId="12" fillId="0" borderId="15" xfId="1" applyNumberFormat="1" applyFont="1" applyFill="1" applyBorder="1" applyAlignment="1">
      <alignment horizontal="center" vertical="center" wrapText="1"/>
    </xf>
    <xf numFmtId="3" fontId="12" fillId="0" borderId="17" xfId="1" applyNumberFormat="1" applyFont="1" applyFill="1" applyBorder="1" applyAlignment="1">
      <alignment horizontal="center" vertical="center" wrapText="1"/>
    </xf>
    <xf numFmtId="3" fontId="11" fillId="0" borderId="17" xfId="1" applyNumberFormat="1" applyFont="1" applyFill="1" applyBorder="1" applyAlignment="1">
      <alignment horizontal="center" vertical="center"/>
    </xf>
    <xf numFmtId="3" fontId="11" fillId="0" borderId="12" xfId="1" applyNumberFormat="1" applyFont="1" applyFill="1" applyBorder="1" applyAlignment="1">
      <alignment horizontal="center" vertical="center"/>
    </xf>
    <xf numFmtId="3" fontId="11" fillId="0" borderId="15" xfId="1" applyNumberFormat="1" applyFont="1" applyFill="1" applyBorder="1" applyAlignment="1">
      <alignment horizontal="center" vertical="center"/>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0" borderId="2" xfId="0" applyFont="1" applyBorder="1" applyAlignment="1">
      <alignment horizontal="right"/>
    </xf>
    <xf numFmtId="0" fontId="10" fillId="0" borderId="3" xfId="0" applyFont="1" applyBorder="1" applyAlignment="1">
      <alignment horizontal="right"/>
    </xf>
    <xf numFmtId="0" fontId="10" fillId="0" borderId="4" xfId="0" applyFont="1" applyBorder="1" applyAlignment="1">
      <alignment horizontal="right"/>
    </xf>
    <xf numFmtId="0" fontId="10" fillId="0" borderId="7" xfId="0" applyFont="1" applyBorder="1" applyAlignment="1">
      <alignment horizontal="right"/>
    </xf>
    <xf numFmtId="0" fontId="0" fillId="0" borderId="15" xfId="0" applyBorder="1" applyAlignment="1">
      <alignment horizontal="center" vertical="center" wrapText="1"/>
    </xf>
    <xf numFmtId="3" fontId="12" fillId="2" borderId="15" xfId="1" applyNumberFormat="1" applyFont="1" applyFill="1" applyBorder="1" applyAlignment="1">
      <alignment horizontal="center" vertical="center" wrapText="1"/>
    </xf>
    <xf numFmtId="3" fontId="12" fillId="2" borderId="17" xfId="1" applyNumberFormat="1" applyFont="1" applyFill="1" applyBorder="1" applyAlignment="1">
      <alignment horizontal="center" vertical="center" wrapText="1"/>
    </xf>
    <xf numFmtId="3" fontId="11" fillId="0" borderId="15" xfId="0" applyNumberFormat="1" applyFont="1" applyBorder="1" applyAlignment="1">
      <alignment horizontal="right" vertical="center"/>
    </xf>
    <xf numFmtId="3" fontId="11" fillId="0" borderId="12" xfId="0" applyNumberFormat="1" applyFont="1" applyBorder="1" applyAlignment="1">
      <alignment horizontal="right" vertical="center"/>
    </xf>
    <xf numFmtId="3" fontId="11" fillId="2" borderId="17" xfId="2" applyNumberFormat="1" applyFont="1" applyFill="1" applyBorder="1" applyAlignment="1" applyProtection="1">
      <alignment horizontal="center" vertical="center" wrapText="1"/>
      <protection locked="0"/>
    </xf>
    <xf numFmtId="3" fontId="11" fillId="2" borderId="15" xfId="1" applyNumberFormat="1" applyFont="1" applyFill="1" applyBorder="1" applyAlignment="1">
      <alignment horizontal="center" vertical="center" wrapText="1"/>
    </xf>
    <xf numFmtId="3" fontId="11" fillId="2" borderId="17" xfId="1" applyNumberFormat="1" applyFont="1" applyFill="1" applyBorder="1" applyAlignment="1">
      <alignment horizontal="center" vertical="center" wrapText="1"/>
    </xf>
    <xf numFmtId="3" fontId="11" fillId="2" borderId="12" xfId="1" applyNumberFormat="1"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wrapText="1"/>
    </xf>
    <xf numFmtId="0" fontId="7" fillId="0" borderId="0" xfId="0" applyFont="1" applyAlignment="1">
      <alignment horizontal="left"/>
    </xf>
    <xf numFmtId="3" fontId="11" fillId="2" borderId="15" xfId="3" applyNumberFormat="1" applyFont="1" applyFill="1" applyBorder="1" applyAlignment="1" applyProtection="1">
      <alignment horizontal="center" vertical="center"/>
      <protection locked="0"/>
    </xf>
    <xf numFmtId="3" fontId="11" fillId="2" borderId="17" xfId="3" applyNumberFormat="1" applyFont="1" applyFill="1" applyBorder="1" applyAlignment="1" applyProtection="1">
      <alignment horizontal="center" vertical="center"/>
      <protection locked="0"/>
    </xf>
    <xf numFmtId="3" fontId="11" fillId="2" borderId="12" xfId="3" applyNumberFormat="1" applyFont="1" applyFill="1" applyBorder="1" applyAlignment="1" applyProtection="1">
      <alignment horizontal="center" vertical="center"/>
      <protection locked="0"/>
    </xf>
    <xf numFmtId="166" fontId="11" fillId="2" borderId="15" xfId="0" applyNumberFormat="1"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4" fillId="0" borderId="0" xfId="0" applyFont="1" applyAlignment="1">
      <alignment horizont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 fontId="12" fillId="2" borderId="12" xfId="0" applyNumberFormat="1" applyFont="1" applyFill="1" applyBorder="1" applyAlignment="1">
      <alignment vertical="center"/>
    </xf>
    <xf numFmtId="41" fontId="12" fillId="2" borderId="15" xfId="0" applyNumberFormat="1" applyFont="1" applyFill="1" applyBorder="1" applyAlignment="1">
      <alignment horizontal="center" vertical="center"/>
    </xf>
    <xf numFmtId="41" fontId="12" fillId="2" borderId="17" xfId="0" applyNumberFormat="1" applyFont="1" applyFill="1" applyBorder="1" applyAlignment="1">
      <alignment horizontal="center" vertical="center"/>
    </xf>
    <xf numFmtId="41" fontId="12" fillId="2" borderId="12" xfId="0" applyNumberFormat="1" applyFont="1" applyFill="1" applyBorder="1" applyAlignment="1">
      <alignment horizontal="center" vertical="center"/>
    </xf>
  </cellXfs>
  <cellStyles count="10">
    <cellStyle name="Comma" xfId="2" builtinId="3"/>
    <cellStyle name="Comma [0]" xfId="1" builtinId="6"/>
    <cellStyle name="Normal" xfId="0" builtinId="0"/>
    <cellStyle name="Normal 10" xfId="3" xr:uid="{00000000-0005-0000-0000-000003000000}"/>
    <cellStyle name="Normal 14 2" xfId="6" xr:uid="{00000000-0005-0000-0000-000004000000}"/>
    <cellStyle name="Normal 2" xfId="8" xr:uid="{00000000-0005-0000-0000-000005000000}"/>
    <cellStyle name="Normal 2 2" xfId="9" xr:uid="{00000000-0005-0000-0000-000006000000}"/>
    <cellStyle name="Normal 3 2" xfId="7" xr:uid="{00000000-0005-0000-0000-000007000000}"/>
    <cellStyle name="Normal 6" xfId="4" xr:uid="{00000000-0005-0000-0000-000008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47"/>
  <sheetViews>
    <sheetView tabSelected="1" view="pageBreakPreview" topLeftCell="C152" zoomScale="55" zoomScaleNormal="75" zoomScaleSheetLayoutView="55" workbookViewId="0">
      <selection activeCell="T162" sqref="T162"/>
    </sheetView>
  </sheetViews>
  <sheetFormatPr defaultRowHeight="14.5" x14ac:dyDescent="0.35"/>
  <cols>
    <col min="1" max="1" width="3.54296875" customWidth="1"/>
    <col min="2" max="2" width="21.81640625" customWidth="1"/>
    <col min="3" max="3" width="26.1796875" customWidth="1"/>
    <col min="4" max="4" width="21.26953125" customWidth="1"/>
    <col min="5" max="5" width="10.7265625" customWidth="1"/>
    <col min="6" max="6" width="20" customWidth="1"/>
    <col min="7" max="7" width="10.7265625" customWidth="1"/>
    <col min="8" max="8" width="19" customWidth="1"/>
    <col min="9" max="9" width="12.1796875" customWidth="1"/>
    <col min="10" max="10" width="19.1796875" customWidth="1"/>
    <col min="11" max="11" width="11.81640625" customWidth="1"/>
    <col min="12" max="12" width="19.54296875" customWidth="1"/>
    <col min="13" max="13" width="11" customWidth="1"/>
    <col min="14" max="14" width="19.1796875" customWidth="1"/>
    <col min="15" max="15" width="9.1796875" customWidth="1"/>
    <col min="16" max="16" width="20.26953125" customWidth="1"/>
    <col min="17" max="17" width="8.54296875" customWidth="1"/>
    <col min="18" max="18" width="20.26953125" customWidth="1"/>
    <col min="19" max="19" width="11" customWidth="1"/>
    <col min="20" max="20" width="19" customWidth="1"/>
    <col min="21" max="21" width="8.7265625" customWidth="1"/>
    <col min="22" max="22" width="18.7265625" customWidth="1"/>
    <col min="23" max="23" width="7" customWidth="1"/>
    <col min="24" max="24" width="14.453125" customWidth="1"/>
    <col min="25" max="25" width="17.54296875" customWidth="1"/>
  </cols>
  <sheetData>
    <row r="1" spans="1:25" ht="23.5" x14ac:dyDescent="0.55000000000000004">
      <c r="A1" s="580" t="s">
        <v>10</v>
      </c>
      <c r="B1" s="580"/>
      <c r="C1" s="580"/>
      <c r="D1" s="580"/>
      <c r="E1" s="580"/>
      <c r="F1" s="580"/>
      <c r="G1" s="580"/>
      <c r="H1" s="580"/>
      <c r="I1" s="580"/>
      <c r="J1" s="580"/>
      <c r="K1" s="580"/>
      <c r="L1" s="580"/>
      <c r="M1" s="580"/>
      <c r="N1" s="580"/>
      <c r="O1" s="580"/>
      <c r="P1" s="580"/>
      <c r="Q1" s="580"/>
      <c r="R1" s="580"/>
      <c r="S1" s="580"/>
      <c r="T1" s="580"/>
      <c r="U1" s="580"/>
      <c r="V1" s="580"/>
      <c r="W1" s="580"/>
      <c r="X1" s="580"/>
      <c r="Y1" s="580"/>
    </row>
    <row r="2" spans="1:25" ht="23.5" x14ac:dyDescent="0.55000000000000004">
      <c r="A2" s="580" t="s">
        <v>17</v>
      </c>
      <c r="B2" s="580"/>
      <c r="C2" s="580"/>
      <c r="D2" s="580"/>
      <c r="E2" s="580"/>
      <c r="F2" s="580"/>
      <c r="G2" s="580"/>
      <c r="H2" s="580"/>
      <c r="I2" s="580"/>
      <c r="J2" s="580"/>
      <c r="K2" s="580"/>
      <c r="L2" s="580"/>
      <c r="M2" s="580"/>
      <c r="N2" s="580"/>
      <c r="O2" s="580"/>
      <c r="P2" s="580"/>
      <c r="Q2" s="580"/>
      <c r="R2" s="580"/>
      <c r="S2" s="580"/>
      <c r="T2" s="580"/>
      <c r="U2" s="580"/>
      <c r="V2" s="580"/>
      <c r="W2" s="580"/>
      <c r="X2" s="580"/>
      <c r="Y2" s="580"/>
    </row>
    <row r="3" spans="1:25" ht="23.5" x14ac:dyDescent="0.55000000000000004">
      <c r="A3" s="581" t="s">
        <v>16</v>
      </c>
      <c r="B3" s="581"/>
      <c r="C3" s="581"/>
      <c r="D3" s="581"/>
      <c r="E3" s="581"/>
      <c r="F3" s="581"/>
      <c r="G3" s="581"/>
      <c r="H3" s="581"/>
      <c r="I3" s="581"/>
      <c r="J3" s="581"/>
      <c r="K3" s="581"/>
      <c r="L3" s="581"/>
      <c r="M3" s="581"/>
      <c r="N3" s="581"/>
      <c r="O3" s="581"/>
      <c r="P3" s="581"/>
      <c r="Q3" s="581"/>
      <c r="R3" s="581"/>
      <c r="S3" s="581"/>
      <c r="T3" s="581"/>
      <c r="U3" s="581"/>
      <c r="V3" s="581"/>
      <c r="W3" s="581"/>
      <c r="X3" s="581"/>
      <c r="Y3" s="581"/>
    </row>
    <row r="4" spans="1:25" ht="23.5" x14ac:dyDescent="0.55000000000000004">
      <c r="A4" s="580" t="s">
        <v>423</v>
      </c>
      <c r="B4" s="580"/>
      <c r="C4" s="580"/>
      <c r="D4" s="580"/>
      <c r="E4" s="580"/>
      <c r="F4" s="580"/>
      <c r="G4" s="580"/>
      <c r="H4" s="580"/>
      <c r="I4" s="580"/>
      <c r="J4" s="580"/>
      <c r="K4" s="580"/>
      <c r="L4" s="580"/>
      <c r="M4" s="580"/>
      <c r="N4" s="580"/>
      <c r="O4" s="580"/>
      <c r="P4" s="580"/>
      <c r="Q4" s="580"/>
      <c r="R4" s="580"/>
      <c r="S4" s="580"/>
      <c r="T4" s="580"/>
      <c r="U4" s="580"/>
      <c r="V4" s="580"/>
      <c r="W4" s="580"/>
      <c r="X4" s="580"/>
      <c r="Y4" s="580"/>
    </row>
    <row r="5" spans="1:25" ht="18.5" x14ac:dyDescent="0.45">
      <c r="A5" s="49"/>
      <c r="B5" s="49"/>
      <c r="C5" s="49"/>
      <c r="D5" s="49"/>
      <c r="E5" s="49"/>
      <c r="F5" s="49"/>
      <c r="G5" s="49"/>
      <c r="H5" s="49"/>
      <c r="I5" s="49"/>
      <c r="J5" s="49"/>
      <c r="K5" s="49"/>
      <c r="L5" s="49"/>
      <c r="M5" s="49"/>
      <c r="N5" s="49"/>
      <c r="O5" s="49"/>
      <c r="P5" s="49"/>
      <c r="Q5" s="49"/>
      <c r="R5" s="49"/>
      <c r="S5" s="49"/>
      <c r="T5" s="49"/>
      <c r="U5" s="49"/>
      <c r="V5" s="49"/>
      <c r="W5" s="49"/>
      <c r="X5" s="49"/>
      <c r="Y5" s="49"/>
    </row>
    <row r="6" spans="1:25" x14ac:dyDescent="0.35">
      <c r="T6" s="16"/>
    </row>
    <row r="7" spans="1:25" x14ac:dyDescent="0.35">
      <c r="A7" t="s">
        <v>11</v>
      </c>
      <c r="N7" t="s">
        <v>97</v>
      </c>
    </row>
    <row r="8" spans="1:25" x14ac:dyDescent="0.35">
      <c r="A8" s="88">
        <v>1</v>
      </c>
      <c r="B8" s="89" t="s">
        <v>316</v>
      </c>
      <c r="C8" s="89"/>
      <c r="D8" s="89"/>
      <c r="E8" s="89"/>
      <c r="F8" s="89"/>
      <c r="G8" s="89"/>
      <c r="H8" s="42"/>
      <c r="I8" s="42"/>
      <c r="J8" s="90">
        <v>1</v>
      </c>
      <c r="V8" s="51"/>
    </row>
    <row r="9" spans="1:25" x14ac:dyDescent="0.35">
      <c r="A9" s="88">
        <v>2</v>
      </c>
      <c r="B9" s="89" t="s">
        <v>317</v>
      </c>
      <c r="C9" s="89"/>
      <c r="D9" s="89"/>
      <c r="E9" s="89"/>
      <c r="F9" s="89"/>
      <c r="G9" s="89"/>
      <c r="H9" s="42"/>
      <c r="I9" s="42"/>
      <c r="J9" s="90">
        <v>0.92</v>
      </c>
      <c r="V9" s="51"/>
    </row>
    <row r="10" spans="1:25" ht="15" customHeight="1" x14ac:dyDescent="0.35">
      <c r="A10" s="88">
        <v>3</v>
      </c>
      <c r="B10" s="89" t="s">
        <v>318</v>
      </c>
      <c r="C10" s="89"/>
      <c r="D10" s="89"/>
      <c r="E10" s="89"/>
      <c r="F10" s="89"/>
      <c r="G10" s="89"/>
      <c r="H10" s="42"/>
      <c r="I10" s="42"/>
      <c r="J10" s="90">
        <v>0.8</v>
      </c>
      <c r="U10" s="34"/>
      <c r="V10" s="50"/>
    </row>
    <row r="11" spans="1:25" x14ac:dyDescent="0.35">
      <c r="A11" s="88">
        <v>4</v>
      </c>
      <c r="B11" s="89" t="s">
        <v>319</v>
      </c>
      <c r="H11" s="42"/>
      <c r="I11" s="42"/>
      <c r="J11" s="90">
        <v>0.03</v>
      </c>
    </row>
    <row r="12" spans="1:25" x14ac:dyDescent="0.35">
      <c r="A12" s="88">
        <v>5</v>
      </c>
      <c r="B12" s="582" t="s">
        <v>320</v>
      </c>
      <c r="C12" s="582"/>
      <c r="D12" s="582"/>
      <c r="E12" s="582"/>
      <c r="F12" s="582"/>
      <c r="G12" s="582"/>
      <c r="H12" s="42"/>
      <c r="I12" s="42"/>
      <c r="J12" s="90">
        <v>0.9</v>
      </c>
    </row>
    <row r="13" spans="1:25" x14ac:dyDescent="0.35">
      <c r="A13" s="88">
        <v>6</v>
      </c>
      <c r="B13" s="582" t="s">
        <v>65</v>
      </c>
      <c r="C13" s="582"/>
      <c r="D13" s="582"/>
      <c r="E13" s="582"/>
      <c r="F13" s="582"/>
      <c r="G13" s="582"/>
      <c r="H13" s="42"/>
      <c r="I13" s="42"/>
      <c r="J13" s="90">
        <v>0.9</v>
      </c>
    </row>
    <row r="14" spans="1:25" x14ac:dyDescent="0.35">
      <c r="A14" s="88">
        <v>7</v>
      </c>
      <c r="B14" s="582" t="s">
        <v>67</v>
      </c>
      <c r="C14" s="582"/>
      <c r="D14" s="582"/>
      <c r="E14" s="582"/>
      <c r="F14" s="582"/>
      <c r="G14" s="582"/>
      <c r="H14" s="42"/>
      <c r="I14" s="42"/>
      <c r="J14" s="90">
        <v>0.9</v>
      </c>
    </row>
    <row r="15" spans="1:25" x14ac:dyDescent="0.35">
      <c r="A15" s="88">
        <v>8</v>
      </c>
      <c r="B15" s="89" t="s">
        <v>26</v>
      </c>
      <c r="C15" s="89"/>
      <c r="D15" s="89"/>
      <c r="E15" s="89"/>
      <c r="F15" s="89"/>
      <c r="G15" s="89"/>
      <c r="H15" s="42"/>
      <c r="I15" s="42"/>
      <c r="J15" s="90">
        <v>0.96</v>
      </c>
      <c r="V15" s="47"/>
    </row>
    <row r="16" spans="1:25" x14ac:dyDescent="0.35">
      <c r="A16" s="88"/>
      <c r="B16" s="48"/>
      <c r="C16" s="48"/>
      <c r="D16" s="48"/>
      <c r="E16" s="48"/>
      <c r="F16" s="48"/>
      <c r="G16" s="48"/>
      <c r="J16" s="17"/>
      <c r="V16" s="47"/>
    </row>
    <row r="18" spans="1:27" s="1" customFormat="1" ht="50.15" customHeight="1" x14ac:dyDescent="0.35">
      <c r="A18" s="552" t="s">
        <v>15</v>
      </c>
      <c r="B18" s="552" t="s">
        <v>0</v>
      </c>
      <c r="C18" s="552" t="s">
        <v>12</v>
      </c>
      <c r="D18" s="552" t="s">
        <v>1</v>
      </c>
      <c r="E18" s="553" t="s">
        <v>321</v>
      </c>
      <c r="F18" s="554"/>
      <c r="G18" s="552" t="s">
        <v>424</v>
      </c>
      <c r="H18" s="552"/>
      <c r="I18" s="552" t="s">
        <v>425</v>
      </c>
      <c r="J18" s="556"/>
      <c r="K18" s="556" t="s">
        <v>442</v>
      </c>
      <c r="L18" s="558"/>
      <c r="M18" s="558"/>
      <c r="N18" s="558"/>
      <c r="O18" s="558"/>
      <c r="P18" s="558"/>
      <c r="Q18" s="558"/>
      <c r="R18" s="557"/>
      <c r="S18" s="557" t="s">
        <v>404</v>
      </c>
      <c r="T18" s="552"/>
      <c r="U18" s="552" t="s">
        <v>405</v>
      </c>
      <c r="V18" s="552"/>
      <c r="W18" s="552" t="s">
        <v>406</v>
      </c>
      <c r="X18" s="552"/>
      <c r="Y18" s="552" t="s">
        <v>3</v>
      </c>
    </row>
    <row r="19" spans="1:27" s="1" customFormat="1" ht="50.15" customHeight="1" x14ac:dyDescent="0.35">
      <c r="A19" s="552"/>
      <c r="B19" s="552"/>
      <c r="C19" s="552"/>
      <c r="D19" s="552"/>
      <c r="E19" s="551"/>
      <c r="F19" s="555"/>
      <c r="G19" s="552"/>
      <c r="H19" s="552"/>
      <c r="I19" s="552"/>
      <c r="J19" s="552"/>
      <c r="K19" s="550" t="s">
        <v>2</v>
      </c>
      <c r="L19" s="551"/>
      <c r="M19" s="550" t="s">
        <v>293</v>
      </c>
      <c r="N19" s="551"/>
      <c r="O19" s="556" t="s">
        <v>298</v>
      </c>
      <c r="P19" s="557"/>
      <c r="Q19" s="556" t="s">
        <v>302</v>
      </c>
      <c r="R19" s="557"/>
      <c r="S19" s="552"/>
      <c r="T19" s="552"/>
      <c r="U19" s="552"/>
      <c r="V19" s="552"/>
      <c r="W19" s="552"/>
      <c r="X19" s="552"/>
      <c r="Y19" s="552"/>
    </row>
    <row r="20" spans="1:27" s="1" customFormat="1" ht="15" customHeight="1" x14ac:dyDescent="0.35">
      <c r="A20" s="552">
        <v>1</v>
      </c>
      <c r="B20" s="552">
        <v>2</v>
      </c>
      <c r="C20" s="552">
        <v>3</v>
      </c>
      <c r="D20" s="552">
        <v>4</v>
      </c>
      <c r="E20" s="552">
        <v>5</v>
      </c>
      <c r="F20" s="552"/>
      <c r="G20" s="552">
        <v>6</v>
      </c>
      <c r="H20" s="552"/>
      <c r="I20" s="552">
        <v>7</v>
      </c>
      <c r="J20" s="552"/>
      <c r="K20" s="552">
        <v>8</v>
      </c>
      <c r="L20" s="552"/>
      <c r="M20" s="552">
        <v>9</v>
      </c>
      <c r="N20" s="552"/>
      <c r="O20" s="99"/>
      <c r="P20" s="99">
        <v>10</v>
      </c>
      <c r="Q20" s="99"/>
      <c r="R20" s="99">
        <v>11</v>
      </c>
      <c r="S20" s="552">
        <v>12</v>
      </c>
      <c r="T20" s="552"/>
      <c r="U20" s="552" t="s">
        <v>13</v>
      </c>
      <c r="V20" s="552"/>
      <c r="W20" s="552" t="s">
        <v>14</v>
      </c>
      <c r="X20" s="552"/>
      <c r="Y20" s="552">
        <v>15</v>
      </c>
    </row>
    <row r="21" spans="1:27" s="1" customFormat="1" ht="15.75" customHeight="1" x14ac:dyDescent="0.35">
      <c r="A21" s="571"/>
      <c r="B21" s="552"/>
      <c r="C21" s="552"/>
      <c r="D21" s="552"/>
      <c r="E21" s="2" t="s">
        <v>4</v>
      </c>
      <c r="F21" s="12" t="s">
        <v>5</v>
      </c>
      <c r="G21" s="2" t="s">
        <v>4</v>
      </c>
      <c r="H21" s="2" t="s">
        <v>5</v>
      </c>
      <c r="I21" s="2" t="s">
        <v>4</v>
      </c>
      <c r="J21" s="2" t="s">
        <v>5</v>
      </c>
      <c r="K21" s="2" t="s">
        <v>4</v>
      </c>
      <c r="L21" s="2" t="s">
        <v>5</v>
      </c>
      <c r="M21" s="2" t="s">
        <v>4</v>
      </c>
      <c r="N21" s="2" t="s">
        <v>5</v>
      </c>
      <c r="O21" s="2"/>
      <c r="P21" s="2"/>
      <c r="Q21" s="2"/>
      <c r="R21" s="2"/>
      <c r="S21" s="2" t="s">
        <v>4</v>
      </c>
      <c r="T21" s="2" t="s">
        <v>5</v>
      </c>
      <c r="U21" s="2" t="s">
        <v>4</v>
      </c>
      <c r="V21" s="12" t="s">
        <v>5</v>
      </c>
      <c r="W21" s="2" t="s">
        <v>4</v>
      </c>
      <c r="X21" s="12" t="s">
        <v>5</v>
      </c>
      <c r="Y21" s="571"/>
    </row>
    <row r="22" spans="1:27" s="1" customFormat="1" ht="118.5" customHeight="1" x14ac:dyDescent="0.35">
      <c r="A22" s="100">
        <v>1</v>
      </c>
      <c r="B22" s="101" t="s">
        <v>322</v>
      </c>
      <c r="C22" s="102" t="s">
        <v>163</v>
      </c>
      <c r="D22" s="108" t="s">
        <v>166</v>
      </c>
      <c r="E22" s="103">
        <v>1</v>
      </c>
      <c r="F22" s="572">
        <v>3912579330</v>
      </c>
      <c r="G22" s="309">
        <v>0</v>
      </c>
      <c r="H22" s="539">
        <f>H28+H31+H33</f>
        <v>2906391672</v>
      </c>
      <c r="I22" s="104">
        <f>E22</f>
        <v>1</v>
      </c>
      <c r="J22" s="559">
        <f>J28+J31+J33</f>
        <v>453315000</v>
      </c>
      <c r="K22" s="134">
        <v>1</v>
      </c>
      <c r="L22" s="543">
        <f>L28+L31+L33</f>
        <v>298929039</v>
      </c>
      <c r="M22" s="105"/>
      <c r="N22" s="543">
        <f>N28+N31+N33</f>
        <v>40290192</v>
      </c>
      <c r="O22" s="106"/>
      <c r="P22" s="543">
        <f>P28+P31+P33</f>
        <v>39229118</v>
      </c>
      <c r="Q22" s="106"/>
      <c r="R22" s="543">
        <f>R28+R31+R33</f>
        <v>70643738</v>
      </c>
      <c r="S22" s="105"/>
      <c r="T22" s="503">
        <f>L22+N22+P22+R22</f>
        <v>449092087</v>
      </c>
      <c r="U22" s="62"/>
      <c r="V22" s="476">
        <f>+H22+T22</f>
        <v>3355483759</v>
      </c>
      <c r="W22" s="525">
        <f>V22/F22*100</f>
        <v>85.761424267402646</v>
      </c>
      <c r="X22" s="499">
        <f>V22/F22*100</f>
        <v>85.761424267402646</v>
      </c>
      <c r="Y22" s="404" t="s">
        <v>19</v>
      </c>
      <c r="Z22" s="37"/>
      <c r="AA22" s="37"/>
    </row>
    <row r="23" spans="1:27" s="1" customFormat="1" ht="73.5" customHeight="1" x14ac:dyDescent="0.35">
      <c r="A23" s="78"/>
      <c r="B23" s="107"/>
      <c r="C23" s="102"/>
      <c r="D23" s="108" t="s">
        <v>164</v>
      </c>
      <c r="E23" s="103">
        <v>1</v>
      </c>
      <c r="F23" s="573"/>
      <c r="G23" s="309">
        <v>0</v>
      </c>
      <c r="H23" s="540"/>
      <c r="I23" s="104">
        <f t="shared" ref="I23:I26" si="0">E23</f>
        <v>1</v>
      </c>
      <c r="J23" s="560"/>
      <c r="K23" s="105"/>
      <c r="L23" s="544"/>
      <c r="M23" s="105"/>
      <c r="N23" s="544"/>
      <c r="O23" s="106"/>
      <c r="P23" s="544"/>
      <c r="Q23" s="106"/>
      <c r="R23" s="544"/>
      <c r="S23" s="105"/>
      <c r="T23" s="504"/>
      <c r="U23" s="62"/>
      <c r="V23" s="477"/>
      <c r="W23" s="526"/>
      <c r="X23" s="516"/>
      <c r="Y23" s="78"/>
      <c r="Z23" s="37"/>
      <c r="AA23" s="37"/>
    </row>
    <row r="24" spans="1:27" s="1" customFormat="1" ht="92.25" customHeight="1" x14ac:dyDescent="0.35">
      <c r="A24" s="78"/>
      <c r="B24" s="107"/>
      <c r="C24" s="102"/>
      <c r="D24" s="102" t="s">
        <v>165</v>
      </c>
      <c r="E24" s="103">
        <v>1</v>
      </c>
      <c r="F24" s="573"/>
      <c r="G24" s="309">
        <v>0</v>
      </c>
      <c r="H24" s="540"/>
      <c r="I24" s="104">
        <f t="shared" si="0"/>
        <v>1</v>
      </c>
      <c r="J24" s="560"/>
      <c r="K24" s="105"/>
      <c r="L24" s="544"/>
      <c r="M24" s="105"/>
      <c r="N24" s="544"/>
      <c r="O24" s="106"/>
      <c r="P24" s="544"/>
      <c r="Q24" s="106"/>
      <c r="R24" s="544"/>
      <c r="S24" s="105"/>
      <c r="T24" s="504"/>
      <c r="U24" s="62"/>
      <c r="V24" s="477"/>
      <c r="W24" s="526"/>
      <c r="X24" s="516"/>
      <c r="Y24" s="78"/>
      <c r="Z24" s="37"/>
      <c r="AA24" s="37"/>
    </row>
    <row r="25" spans="1:27" s="1" customFormat="1" ht="106.5" customHeight="1" x14ac:dyDescent="0.35">
      <c r="A25" s="78"/>
      <c r="B25" s="107"/>
      <c r="C25" s="102"/>
      <c r="D25" s="108" t="s">
        <v>167</v>
      </c>
      <c r="E25" s="103">
        <v>1</v>
      </c>
      <c r="F25" s="573"/>
      <c r="G25" s="309">
        <v>0</v>
      </c>
      <c r="H25" s="540"/>
      <c r="I25" s="104">
        <f t="shared" si="0"/>
        <v>1</v>
      </c>
      <c r="J25" s="560"/>
      <c r="K25" s="141"/>
      <c r="L25" s="544"/>
      <c r="M25" s="105"/>
      <c r="N25" s="544"/>
      <c r="O25" s="106"/>
      <c r="P25" s="544"/>
      <c r="Q25" s="106"/>
      <c r="R25" s="544"/>
      <c r="S25" s="110">
        <v>0.13</v>
      </c>
      <c r="T25" s="504"/>
      <c r="U25" s="62"/>
      <c r="V25" s="477"/>
      <c r="W25" s="526"/>
      <c r="X25" s="516"/>
      <c r="Y25" s="78"/>
      <c r="Z25" s="37"/>
      <c r="AA25" s="37"/>
    </row>
    <row r="26" spans="1:27" s="1" customFormat="1" ht="119.25" customHeight="1" x14ac:dyDescent="0.35">
      <c r="A26" s="78"/>
      <c r="B26" s="107"/>
      <c r="C26" s="102"/>
      <c r="D26" s="102" t="s">
        <v>168</v>
      </c>
      <c r="E26" s="103">
        <v>1</v>
      </c>
      <c r="F26" s="573"/>
      <c r="G26" s="309">
        <v>0</v>
      </c>
      <c r="H26" s="540"/>
      <c r="I26" s="104">
        <f t="shared" si="0"/>
        <v>1</v>
      </c>
      <c r="J26" s="560"/>
      <c r="K26" s="105"/>
      <c r="L26" s="544"/>
      <c r="M26" s="105"/>
      <c r="N26" s="544"/>
      <c r="O26" s="106"/>
      <c r="P26" s="544"/>
      <c r="Q26" s="106"/>
      <c r="R26" s="544"/>
      <c r="S26" s="105"/>
      <c r="T26" s="504"/>
      <c r="U26" s="62"/>
      <c r="V26" s="477"/>
      <c r="W26" s="526"/>
      <c r="X26" s="516"/>
      <c r="Y26" s="78"/>
      <c r="Z26" s="37"/>
      <c r="AA26" s="37"/>
    </row>
    <row r="27" spans="1:27" s="1" customFormat="1" ht="64.5" customHeight="1" x14ac:dyDescent="0.35">
      <c r="A27" s="78"/>
      <c r="B27" s="107"/>
      <c r="C27" s="102"/>
      <c r="D27" s="108" t="s">
        <v>169</v>
      </c>
      <c r="E27" s="103">
        <v>1</v>
      </c>
      <c r="F27" s="573"/>
      <c r="G27" s="309">
        <v>0</v>
      </c>
      <c r="H27" s="540"/>
      <c r="I27" s="104">
        <f>E27</f>
        <v>1</v>
      </c>
      <c r="J27" s="560"/>
      <c r="K27" s="105"/>
      <c r="L27" s="544"/>
      <c r="M27" s="105"/>
      <c r="N27" s="544"/>
      <c r="O27" s="106"/>
      <c r="P27" s="544"/>
      <c r="Q27" s="106"/>
      <c r="R27" s="544"/>
      <c r="S27" s="105"/>
      <c r="T27" s="504"/>
      <c r="U27" s="62"/>
      <c r="V27" s="477"/>
      <c r="W27" s="526"/>
      <c r="X27" s="516"/>
      <c r="Y27" s="78"/>
      <c r="Z27" s="37"/>
      <c r="AA27" s="37"/>
    </row>
    <row r="28" spans="1:27" s="1" customFormat="1" ht="86.5" customHeight="1" x14ac:dyDescent="0.35">
      <c r="A28" s="78"/>
      <c r="B28" s="401"/>
      <c r="C28" s="401" t="s">
        <v>99</v>
      </c>
      <c r="D28" s="112" t="s">
        <v>485</v>
      </c>
      <c r="E28" s="80" t="s">
        <v>489</v>
      </c>
      <c r="F28" s="577">
        <v>700200000</v>
      </c>
      <c r="G28" s="446" t="s">
        <v>489</v>
      </c>
      <c r="H28" s="533">
        <v>1087513753</v>
      </c>
      <c r="I28" s="114" t="str">
        <f>E28</f>
        <v>35 Dokumen</v>
      </c>
      <c r="J28" s="536">
        <v>21837988</v>
      </c>
      <c r="K28" s="119" t="s">
        <v>53</v>
      </c>
      <c r="L28" s="488">
        <v>2600000</v>
      </c>
      <c r="M28" s="119" t="s">
        <v>43</v>
      </c>
      <c r="N28" s="488">
        <v>1562870</v>
      </c>
      <c r="O28" s="119" t="s">
        <v>43</v>
      </c>
      <c r="P28" s="488">
        <v>15765118</v>
      </c>
      <c r="Q28" s="119" t="s">
        <v>43</v>
      </c>
      <c r="R28" s="488">
        <v>1890000</v>
      </c>
      <c r="S28" s="446" t="s">
        <v>489</v>
      </c>
      <c r="T28" s="455">
        <f>R28+P28+N28+L28</f>
        <v>21817988</v>
      </c>
      <c r="U28" s="113">
        <v>0</v>
      </c>
      <c r="V28" s="485">
        <f>T28+F28</f>
        <v>722017988</v>
      </c>
      <c r="W28" s="113">
        <v>0</v>
      </c>
      <c r="X28" s="499">
        <f>(V28/F28)*100</f>
        <v>103.11596515281347</v>
      </c>
      <c r="Y28" s="78"/>
      <c r="Z28" s="37"/>
      <c r="AA28" s="37"/>
    </row>
    <row r="29" spans="1:27" s="1" customFormat="1" ht="75" customHeight="1" x14ac:dyDescent="0.35">
      <c r="A29" s="78"/>
      <c r="B29" s="107"/>
      <c r="C29" s="112"/>
      <c r="D29" s="92" t="s">
        <v>486</v>
      </c>
      <c r="E29" s="80" t="s">
        <v>488</v>
      </c>
      <c r="F29" s="578"/>
      <c r="G29" s="446" t="s">
        <v>488</v>
      </c>
      <c r="H29" s="534"/>
      <c r="I29" s="114" t="str">
        <f t="shared" ref="I29:I30" si="1">E29</f>
        <v>26 Dokumen</v>
      </c>
      <c r="J29" s="537"/>
      <c r="K29" s="119" t="s">
        <v>43</v>
      </c>
      <c r="L29" s="489"/>
      <c r="M29" s="119" t="s">
        <v>43</v>
      </c>
      <c r="N29" s="489"/>
      <c r="O29" s="119" t="s">
        <v>43</v>
      </c>
      <c r="P29" s="489"/>
      <c r="Q29" s="119" t="s">
        <v>43</v>
      </c>
      <c r="R29" s="489"/>
      <c r="S29" s="446" t="s">
        <v>489</v>
      </c>
      <c r="T29" s="491"/>
      <c r="U29" s="113">
        <v>0</v>
      </c>
      <c r="V29" s="486"/>
      <c r="W29" s="61">
        <v>0</v>
      </c>
      <c r="X29" s="516"/>
      <c r="Y29" s="78"/>
      <c r="Z29" s="37"/>
      <c r="AA29" s="37"/>
    </row>
    <row r="30" spans="1:27" s="1" customFormat="1" ht="63.5" customHeight="1" x14ac:dyDescent="0.35">
      <c r="A30" s="78"/>
      <c r="B30" s="107"/>
      <c r="C30" s="112"/>
      <c r="D30" s="92" t="s">
        <v>487</v>
      </c>
      <c r="E30" s="80" t="s">
        <v>176</v>
      </c>
      <c r="F30" s="578"/>
      <c r="G30" s="446" t="s">
        <v>176</v>
      </c>
      <c r="H30" s="534"/>
      <c r="I30" s="114" t="str">
        <f t="shared" si="1"/>
        <v>21 Dokumen</v>
      </c>
      <c r="J30" s="537"/>
      <c r="K30" s="119" t="s">
        <v>43</v>
      </c>
      <c r="L30" s="489"/>
      <c r="M30" s="119" t="s">
        <v>43</v>
      </c>
      <c r="N30" s="489"/>
      <c r="O30" s="119" t="s">
        <v>43</v>
      </c>
      <c r="P30" s="489"/>
      <c r="Q30" s="119" t="s">
        <v>43</v>
      </c>
      <c r="R30" s="489"/>
      <c r="S30" s="446" t="s">
        <v>489</v>
      </c>
      <c r="T30" s="491"/>
      <c r="U30" s="62" t="str">
        <f>S30</f>
        <v>35 Dokumen</v>
      </c>
      <c r="V30" s="486"/>
      <c r="W30" s="61">
        <f>(1/1)*100</f>
        <v>100</v>
      </c>
      <c r="X30" s="516"/>
      <c r="Y30" s="78"/>
      <c r="Z30" s="37"/>
      <c r="AA30" s="37"/>
    </row>
    <row r="31" spans="1:27" s="1" customFormat="1" ht="43.5" customHeight="1" x14ac:dyDescent="0.35">
      <c r="A31" s="78"/>
      <c r="B31" s="107"/>
      <c r="C31" s="112" t="s">
        <v>100</v>
      </c>
      <c r="D31" s="112" t="s">
        <v>18</v>
      </c>
      <c r="E31" s="123" t="s">
        <v>53</v>
      </c>
      <c r="F31" s="494">
        <v>1456879330</v>
      </c>
      <c r="G31" s="311" t="s">
        <v>492</v>
      </c>
      <c r="H31" s="533">
        <v>549799401</v>
      </c>
      <c r="I31" s="124" t="str">
        <f>E31</f>
        <v>2 Dokumen</v>
      </c>
      <c r="J31" s="536">
        <v>125492800</v>
      </c>
      <c r="K31" s="125" t="s">
        <v>53</v>
      </c>
      <c r="L31" s="465">
        <v>102516000</v>
      </c>
      <c r="M31" s="125"/>
      <c r="N31" s="465">
        <v>0</v>
      </c>
      <c r="O31" s="125" t="s">
        <v>53</v>
      </c>
      <c r="P31" s="465">
        <v>22890000</v>
      </c>
      <c r="Q31" s="125"/>
      <c r="R31" s="465"/>
      <c r="S31" s="125" t="s">
        <v>53</v>
      </c>
      <c r="T31" s="455">
        <f>L31+N31+P31+R31</f>
        <v>125406000</v>
      </c>
      <c r="U31" s="121" t="s">
        <v>39</v>
      </c>
      <c r="V31" s="485">
        <f>T31+H31</f>
        <v>675205401</v>
      </c>
      <c r="W31" s="61">
        <f>(1/2)*100</f>
        <v>50</v>
      </c>
      <c r="X31" s="499">
        <f>(V31/F31)*100</f>
        <v>46.346007325122798</v>
      </c>
      <c r="Y31" s="78"/>
      <c r="Z31" s="37"/>
      <c r="AA31" s="37"/>
    </row>
    <row r="32" spans="1:27" s="1" customFormat="1" ht="35.25" customHeight="1" thickBot="1" x14ac:dyDescent="0.4">
      <c r="A32" s="78"/>
      <c r="B32" s="107"/>
      <c r="C32" s="112"/>
      <c r="D32" s="92" t="s">
        <v>170</v>
      </c>
      <c r="E32" s="126" t="s">
        <v>493</v>
      </c>
      <c r="F32" s="461"/>
      <c r="G32" s="312" t="s">
        <v>493</v>
      </c>
      <c r="H32" s="535"/>
      <c r="I32" s="124" t="str">
        <f>E32</f>
        <v>307 Dokumen</v>
      </c>
      <c r="J32" s="538"/>
      <c r="K32" s="127" t="s">
        <v>418</v>
      </c>
      <c r="L32" s="467"/>
      <c r="M32" s="127"/>
      <c r="N32" s="467"/>
      <c r="O32" s="127" t="s">
        <v>418</v>
      </c>
      <c r="P32" s="467"/>
      <c r="Q32" s="127"/>
      <c r="R32" s="541"/>
      <c r="S32" s="127" t="s">
        <v>418</v>
      </c>
      <c r="T32" s="456"/>
      <c r="U32" s="128" t="str">
        <f>K32</f>
        <v>307  Dokumen</v>
      </c>
      <c r="V32" s="487"/>
      <c r="W32" s="61">
        <f>(21/21)*100</f>
        <v>100</v>
      </c>
      <c r="X32" s="500"/>
      <c r="Y32" s="78"/>
      <c r="Z32" s="37"/>
      <c r="AA32" s="37"/>
    </row>
    <row r="33" spans="1:27" s="1" customFormat="1" ht="34.5" customHeight="1" thickTop="1" x14ac:dyDescent="0.35">
      <c r="A33" s="78"/>
      <c r="B33" s="107"/>
      <c r="C33" s="112" t="s">
        <v>101</v>
      </c>
      <c r="D33" s="92" t="s">
        <v>490</v>
      </c>
      <c r="E33" s="126" t="s">
        <v>489</v>
      </c>
      <c r="F33" s="577">
        <v>1755500000</v>
      </c>
      <c r="G33" s="312" t="s">
        <v>489</v>
      </c>
      <c r="H33" s="533">
        <v>1269078518</v>
      </c>
      <c r="I33" s="124" t="str">
        <f t="shared" ref="I33:I39" si="2">E33</f>
        <v>35 Dokumen</v>
      </c>
      <c r="J33" s="536">
        <v>305984212</v>
      </c>
      <c r="K33" s="124" t="str">
        <f>I33</f>
        <v>35 Dokumen</v>
      </c>
      <c r="L33" s="488">
        <v>193813039</v>
      </c>
      <c r="M33" s="124" t="str">
        <f>K33</f>
        <v>35 Dokumen</v>
      </c>
      <c r="N33" s="488">
        <v>38727322</v>
      </c>
      <c r="O33" s="124" t="str">
        <f>M33</f>
        <v>35 Dokumen</v>
      </c>
      <c r="P33" s="488">
        <v>574000</v>
      </c>
      <c r="Q33" s="124" t="str">
        <f>O33</f>
        <v>35 Dokumen</v>
      </c>
      <c r="R33" s="542">
        <v>68753738</v>
      </c>
      <c r="S33" s="124" t="str">
        <f>I33</f>
        <v>35 Dokumen</v>
      </c>
      <c r="T33" s="455">
        <f>L33+N33+P33+R33</f>
        <v>301868099</v>
      </c>
      <c r="U33" s="124" t="str">
        <f>K33</f>
        <v>35 Dokumen</v>
      </c>
      <c r="V33" s="485">
        <f>T33+H33</f>
        <v>1570946617</v>
      </c>
      <c r="W33" s="61">
        <f>(1/1)*100</f>
        <v>100</v>
      </c>
      <c r="X33" s="499">
        <f>(V33/F33)*100</f>
        <v>89.487132839646819</v>
      </c>
      <c r="Y33" s="78"/>
      <c r="Z33" s="37"/>
      <c r="AA33" s="37"/>
    </row>
    <row r="34" spans="1:27" s="1" customFormat="1" ht="34.5" customHeight="1" x14ac:dyDescent="0.35">
      <c r="A34" s="78"/>
      <c r="B34" s="107"/>
      <c r="C34" s="112"/>
      <c r="D34" s="92" t="s">
        <v>491</v>
      </c>
      <c r="E34" s="126" t="s">
        <v>53</v>
      </c>
      <c r="F34" s="578"/>
      <c r="G34" s="312" t="s">
        <v>53</v>
      </c>
      <c r="H34" s="534"/>
      <c r="I34" s="124" t="str">
        <f t="shared" si="2"/>
        <v>2 Dokumen</v>
      </c>
      <c r="J34" s="537"/>
      <c r="K34" s="124" t="str">
        <f t="shared" ref="K34:Q39" si="3">I34</f>
        <v>2 Dokumen</v>
      </c>
      <c r="L34" s="489"/>
      <c r="M34" s="124" t="str">
        <f t="shared" si="3"/>
        <v>2 Dokumen</v>
      </c>
      <c r="N34" s="489"/>
      <c r="O34" s="124" t="str">
        <f t="shared" si="3"/>
        <v>2 Dokumen</v>
      </c>
      <c r="P34" s="489"/>
      <c r="Q34" s="124" t="str">
        <f t="shared" si="3"/>
        <v>2 Dokumen</v>
      </c>
      <c r="R34" s="466"/>
      <c r="S34" s="124" t="str">
        <f>I34</f>
        <v>2 Dokumen</v>
      </c>
      <c r="T34" s="491"/>
      <c r="U34" s="124" t="str">
        <f>K34</f>
        <v>2 Dokumen</v>
      </c>
      <c r="V34" s="486"/>
      <c r="W34" s="61">
        <f>(1/1)*100</f>
        <v>100</v>
      </c>
      <c r="X34" s="516"/>
      <c r="Y34" s="78"/>
      <c r="Z34" s="37"/>
      <c r="AA34" s="37"/>
    </row>
    <row r="35" spans="1:27" s="1" customFormat="1" ht="48.75" customHeight="1" x14ac:dyDescent="0.35">
      <c r="A35" s="78"/>
      <c r="B35" s="107"/>
      <c r="C35" s="112"/>
      <c r="D35" s="92" t="s">
        <v>171</v>
      </c>
      <c r="E35" s="126" t="s">
        <v>43</v>
      </c>
      <c r="F35" s="578"/>
      <c r="G35" s="312" t="s">
        <v>43</v>
      </c>
      <c r="H35" s="534"/>
      <c r="I35" s="124" t="str">
        <f t="shared" si="2"/>
        <v>1 Dokumen</v>
      </c>
      <c r="J35" s="537"/>
      <c r="K35" s="124" t="str">
        <f t="shared" si="3"/>
        <v>1 Dokumen</v>
      </c>
      <c r="L35" s="489"/>
      <c r="M35" s="124" t="str">
        <f t="shared" si="3"/>
        <v>1 Dokumen</v>
      </c>
      <c r="N35" s="489"/>
      <c r="O35" s="124" t="str">
        <f t="shared" si="3"/>
        <v>1 Dokumen</v>
      </c>
      <c r="P35" s="489"/>
      <c r="Q35" s="124" t="str">
        <f t="shared" si="3"/>
        <v>1 Dokumen</v>
      </c>
      <c r="R35" s="466"/>
      <c r="S35" s="124" t="str">
        <f>I35</f>
        <v>1 Dokumen</v>
      </c>
      <c r="T35" s="491"/>
      <c r="U35" s="124" t="str">
        <f>K35</f>
        <v>1 Dokumen</v>
      </c>
      <c r="V35" s="486"/>
      <c r="W35" s="61">
        <f>(1/1)*100</f>
        <v>100</v>
      </c>
      <c r="X35" s="516"/>
      <c r="Y35" s="78"/>
      <c r="Z35" s="37"/>
      <c r="AA35" s="37"/>
    </row>
    <row r="36" spans="1:27" s="1" customFormat="1" ht="111.75" customHeight="1" x14ac:dyDescent="0.35">
      <c r="A36" s="78"/>
      <c r="B36" s="107"/>
      <c r="C36" s="112"/>
      <c r="D36" s="92" t="s">
        <v>172</v>
      </c>
      <c r="E36" s="126" t="s">
        <v>43</v>
      </c>
      <c r="F36" s="578"/>
      <c r="G36" s="310">
        <v>0</v>
      </c>
      <c r="H36" s="534"/>
      <c r="I36" s="124" t="str">
        <f t="shared" si="2"/>
        <v>1 Dokumen</v>
      </c>
      <c r="J36" s="537"/>
      <c r="K36" s="124" t="str">
        <f t="shared" si="3"/>
        <v>1 Dokumen</v>
      </c>
      <c r="L36" s="489"/>
      <c r="M36" s="124" t="str">
        <f t="shared" si="3"/>
        <v>1 Dokumen</v>
      </c>
      <c r="N36" s="489"/>
      <c r="O36" s="124" t="str">
        <f t="shared" si="3"/>
        <v>1 Dokumen</v>
      </c>
      <c r="P36" s="489"/>
      <c r="Q36" s="124" t="str">
        <f t="shared" si="3"/>
        <v>1 Dokumen</v>
      </c>
      <c r="R36" s="466"/>
      <c r="S36" s="113">
        <v>0</v>
      </c>
      <c r="T36" s="491"/>
      <c r="U36" s="113">
        <v>0</v>
      </c>
      <c r="V36" s="486"/>
      <c r="W36" s="61">
        <f>(0/1)*100</f>
        <v>0</v>
      </c>
      <c r="X36" s="516"/>
      <c r="Y36" s="78"/>
      <c r="Z36" s="37"/>
      <c r="AA36" s="37"/>
    </row>
    <row r="37" spans="1:27" s="1" customFormat="1" ht="52.5" customHeight="1" x14ac:dyDescent="0.35">
      <c r="A37" s="78"/>
      <c r="B37" s="107"/>
      <c r="C37" s="112"/>
      <c r="D37" s="92" t="s">
        <v>173</v>
      </c>
      <c r="E37" s="126" t="s">
        <v>43</v>
      </c>
      <c r="F37" s="579"/>
      <c r="G37" s="310">
        <v>0</v>
      </c>
      <c r="H37" s="535"/>
      <c r="I37" s="124" t="str">
        <f t="shared" si="2"/>
        <v>1 Dokumen</v>
      </c>
      <c r="J37" s="538"/>
      <c r="K37" s="124" t="str">
        <f t="shared" si="3"/>
        <v>1 Dokumen</v>
      </c>
      <c r="L37" s="490"/>
      <c r="M37" s="124" t="str">
        <f t="shared" si="3"/>
        <v>1 Dokumen</v>
      </c>
      <c r="N37" s="490"/>
      <c r="O37" s="124" t="str">
        <f t="shared" si="3"/>
        <v>1 Dokumen</v>
      </c>
      <c r="P37" s="490"/>
      <c r="Q37" s="124" t="str">
        <f t="shared" si="3"/>
        <v>1 Dokumen</v>
      </c>
      <c r="R37" s="467"/>
      <c r="S37" s="113">
        <v>0</v>
      </c>
      <c r="T37" s="456"/>
      <c r="U37" s="113">
        <v>0</v>
      </c>
      <c r="V37" s="487"/>
      <c r="W37" s="61">
        <f>(0/1)*100</f>
        <v>0</v>
      </c>
      <c r="X37" s="500"/>
      <c r="Y37" s="78"/>
      <c r="Z37" s="37"/>
      <c r="AA37" s="37"/>
    </row>
    <row r="38" spans="1:27" s="1" customFormat="1" ht="54" customHeight="1" x14ac:dyDescent="0.35">
      <c r="A38" s="78"/>
      <c r="B38" s="129"/>
      <c r="C38" s="102" t="s">
        <v>161</v>
      </c>
      <c r="D38" s="108" t="s">
        <v>174</v>
      </c>
      <c r="E38" s="130">
        <v>1</v>
      </c>
      <c r="F38" s="313">
        <v>250000000</v>
      </c>
      <c r="G38" s="309">
        <v>0</v>
      </c>
      <c r="H38" s="314">
        <f>H39</f>
        <v>54860410</v>
      </c>
      <c r="I38" s="131">
        <f t="shared" si="2"/>
        <v>1</v>
      </c>
      <c r="J38" s="293">
        <f>J39</f>
        <v>9450000</v>
      </c>
      <c r="K38" s="132"/>
      <c r="L38" s="133"/>
      <c r="M38" s="132"/>
      <c r="N38" s="133">
        <f>N39</f>
        <v>9095000</v>
      </c>
      <c r="O38" s="133"/>
      <c r="P38" s="133"/>
      <c r="Q38" s="133"/>
      <c r="R38" s="133">
        <f>R39</f>
        <v>350000</v>
      </c>
      <c r="S38" s="105"/>
      <c r="T38" s="133">
        <f>L38+N38+P38+R38</f>
        <v>9445000</v>
      </c>
      <c r="U38" s="134"/>
      <c r="V38" s="364">
        <f>H38+T38</f>
        <v>64305410</v>
      </c>
      <c r="W38" s="135"/>
      <c r="X38" s="133">
        <v>0</v>
      </c>
      <c r="Y38" s="78"/>
      <c r="Z38" s="37"/>
      <c r="AA38" s="37"/>
    </row>
    <row r="39" spans="1:27" s="1" customFormat="1" ht="51" customHeight="1" x14ac:dyDescent="0.35">
      <c r="A39" s="78"/>
      <c r="B39" s="107"/>
      <c r="C39" s="112" t="s">
        <v>162</v>
      </c>
      <c r="D39" s="92" t="s">
        <v>175</v>
      </c>
      <c r="E39" s="80" t="s">
        <v>43</v>
      </c>
      <c r="F39" s="315">
        <v>250000000</v>
      </c>
      <c r="G39" s="310">
        <v>0</v>
      </c>
      <c r="H39" s="316">
        <v>54860410</v>
      </c>
      <c r="I39" s="136" t="str">
        <f t="shared" si="2"/>
        <v>1 Dokumen</v>
      </c>
      <c r="J39" s="137">
        <v>9450000</v>
      </c>
      <c r="K39" s="136" t="str">
        <f t="shared" si="3"/>
        <v>1 Dokumen</v>
      </c>
      <c r="L39" s="63"/>
      <c r="M39" s="136" t="str">
        <f t="shared" si="3"/>
        <v>1 Dokumen</v>
      </c>
      <c r="N39" s="63">
        <v>9095000</v>
      </c>
      <c r="Q39" s="136" t="str">
        <f>M39</f>
        <v>1 Dokumen</v>
      </c>
      <c r="R39" s="63">
        <v>350000</v>
      </c>
      <c r="S39" s="136" t="s">
        <v>41</v>
      </c>
      <c r="T39" s="63">
        <f>T38</f>
        <v>9445000</v>
      </c>
      <c r="U39" s="62"/>
      <c r="V39" s="350">
        <f>H39+T39</f>
        <v>64305410</v>
      </c>
      <c r="W39" s="37"/>
      <c r="X39" s="63">
        <f>V39/J39*100</f>
        <v>680.48052910052911</v>
      </c>
      <c r="Y39" s="78"/>
      <c r="Z39" s="37"/>
      <c r="AA39" s="37"/>
    </row>
    <row r="40" spans="1:27" s="1" customFormat="1" ht="9.75" customHeight="1" x14ac:dyDescent="0.35">
      <c r="A40" s="87"/>
      <c r="B40" s="92"/>
      <c r="C40" s="92"/>
      <c r="D40" s="92"/>
      <c r="E40" s="61"/>
      <c r="F40" s="317"/>
      <c r="G40" s="317"/>
      <c r="H40" s="317"/>
      <c r="I40" s="61"/>
      <c r="J40" s="114"/>
      <c r="K40" s="61"/>
      <c r="L40" s="61"/>
      <c r="M40" s="61"/>
      <c r="N40" s="61"/>
      <c r="O40" s="61"/>
      <c r="P40" s="61"/>
      <c r="Q40" s="61"/>
      <c r="R40" s="61"/>
      <c r="S40" s="61">
        <f t="shared" ref="S40" si="4">K40</f>
        <v>0</v>
      </c>
      <c r="T40" s="61">
        <f t="shared" ref="T40" si="5">L40</f>
        <v>0</v>
      </c>
      <c r="U40" s="62">
        <f t="shared" ref="U40" si="6">G40+S40*100%</f>
        <v>0</v>
      </c>
      <c r="V40" s="350">
        <f t="shared" ref="V40" si="7">H40+T40</f>
        <v>0</v>
      </c>
      <c r="W40" s="61" t="e">
        <f>(U40/E40)*100</f>
        <v>#DIV/0!</v>
      </c>
      <c r="X40" s="138" t="e">
        <f t="shared" ref="X40" si="8">SUM(V40/F40)*100</f>
        <v>#DIV/0!</v>
      </c>
      <c r="Y40" s="87"/>
      <c r="Z40" s="37"/>
      <c r="AA40" s="37"/>
    </row>
    <row r="41" spans="1:27" s="1" customFormat="1" ht="118.5" customHeight="1" x14ac:dyDescent="0.35">
      <c r="A41" s="91">
        <v>2</v>
      </c>
      <c r="B41" s="101" t="s">
        <v>322</v>
      </c>
      <c r="C41" s="144" t="s">
        <v>105</v>
      </c>
      <c r="D41" s="139" t="s">
        <v>177</v>
      </c>
      <c r="E41" s="145">
        <v>0.85</v>
      </c>
      <c r="F41" s="318">
        <v>2894854000</v>
      </c>
      <c r="G41" s="319">
        <v>0</v>
      </c>
      <c r="H41" s="320">
        <f>H42+H44+H46</f>
        <v>2080316906</v>
      </c>
      <c r="I41" s="140">
        <f>E41</f>
        <v>0.85</v>
      </c>
      <c r="J41" s="147">
        <f>J42+J44+J46</f>
        <v>567559000</v>
      </c>
      <c r="K41" s="110">
        <v>0.33200000000000002</v>
      </c>
      <c r="L41" s="106">
        <f>L42+L44+L46</f>
        <v>111906340</v>
      </c>
      <c r="M41" s="110">
        <v>0.13600000000000001</v>
      </c>
      <c r="N41" s="106">
        <f>N42+N44+N46</f>
        <v>121906620</v>
      </c>
      <c r="O41" s="106"/>
      <c r="P41" s="106">
        <f>P42+P44+P46</f>
        <v>56452436</v>
      </c>
      <c r="Q41" s="106"/>
      <c r="R41" s="106">
        <f>R42+R44+R46</f>
        <v>260165029</v>
      </c>
      <c r="S41" s="110">
        <v>0.76100000000000001</v>
      </c>
      <c r="T41" s="141">
        <f>R41+P41+N41+L41</f>
        <v>550430425</v>
      </c>
      <c r="U41" s="134"/>
      <c r="V41" s="364">
        <f t="shared" ref="V41:V42" si="9">H41+T41</f>
        <v>2630747331</v>
      </c>
      <c r="W41" s="105"/>
      <c r="X41" s="174">
        <f t="shared" ref="X41:X42" si="10">SUM(V41/F41)*100</f>
        <v>90.876684316376583</v>
      </c>
      <c r="Y41" s="100" t="s">
        <v>23</v>
      </c>
      <c r="Z41" s="37"/>
    </row>
    <row r="42" spans="1:27" s="1" customFormat="1" ht="63.75" customHeight="1" x14ac:dyDescent="0.35">
      <c r="A42" s="68"/>
      <c r="B42" s="8"/>
      <c r="C42" s="378" t="s">
        <v>102</v>
      </c>
      <c r="D42" s="76" t="s">
        <v>20</v>
      </c>
      <c r="E42" s="148" t="s">
        <v>181</v>
      </c>
      <c r="F42" s="494">
        <v>1272250000</v>
      </c>
      <c r="G42" s="312" t="s">
        <v>303</v>
      </c>
      <c r="H42" s="494">
        <v>1165481689</v>
      </c>
      <c r="I42" s="149" t="s">
        <v>443</v>
      </c>
      <c r="J42" s="563">
        <v>323798500</v>
      </c>
      <c r="K42" s="150" t="s">
        <v>445</v>
      </c>
      <c r="L42" s="488">
        <v>45815320</v>
      </c>
      <c r="M42" s="150" t="s">
        <v>447</v>
      </c>
      <c r="N42" s="488">
        <v>96831520</v>
      </c>
      <c r="O42" s="150" t="s">
        <v>540</v>
      </c>
      <c r="P42" s="488">
        <v>43954196</v>
      </c>
      <c r="Q42" s="150" t="s">
        <v>563</v>
      </c>
      <c r="R42" s="488">
        <v>123334059</v>
      </c>
      <c r="S42" s="150" t="s">
        <v>494</v>
      </c>
      <c r="T42" s="492">
        <f>+L42+N42+P42+R42</f>
        <v>309935095</v>
      </c>
      <c r="U42" s="150" t="s">
        <v>495</v>
      </c>
      <c r="V42" s="485">
        <f t="shared" si="9"/>
        <v>1475416784</v>
      </c>
      <c r="W42" s="61">
        <f>(600/2000)*100</f>
        <v>30</v>
      </c>
      <c r="X42" s="499">
        <f t="shared" si="10"/>
        <v>115.96909286696797</v>
      </c>
      <c r="Y42" s="78"/>
      <c r="Z42" s="37"/>
    </row>
    <row r="43" spans="1:27" s="1" customFormat="1" ht="74.25" customHeight="1" x14ac:dyDescent="0.35">
      <c r="A43" s="68"/>
      <c r="B43" s="8"/>
      <c r="C43" s="378"/>
      <c r="D43" s="76" t="s">
        <v>178</v>
      </c>
      <c r="E43" s="151" t="s">
        <v>182</v>
      </c>
      <c r="F43" s="461"/>
      <c r="G43" s="312" t="s">
        <v>304</v>
      </c>
      <c r="H43" s="461"/>
      <c r="I43" s="149" t="s">
        <v>444</v>
      </c>
      <c r="J43" s="562"/>
      <c r="K43" s="152" t="s">
        <v>446</v>
      </c>
      <c r="L43" s="490"/>
      <c r="M43" s="152" t="s">
        <v>448</v>
      </c>
      <c r="N43" s="490"/>
      <c r="O43" s="152" t="s">
        <v>541</v>
      </c>
      <c r="P43" s="490"/>
      <c r="Q43" s="152" t="s">
        <v>564</v>
      </c>
      <c r="R43" s="490"/>
      <c r="S43" s="150" t="s">
        <v>496</v>
      </c>
      <c r="T43" s="493"/>
      <c r="U43" s="150" t="s">
        <v>497</v>
      </c>
      <c r="V43" s="487"/>
      <c r="W43" s="61">
        <f>(15/60)*100</f>
        <v>25</v>
      </c>
      <c r="X43" s="500"/>
      <c r="Y43" s="78"/>
      <c r="Z43" s="37"/>
    </row>
    <row r="44" spans="1:27" s="1" customFormat="1" ht="48" customHeight="1" x14ac:dyDescent="0.35">
      <c r="A44" s="68"/>
      <c r="B44" s="8"/>
      <c r="C44" s="378" t="s">
        <v>103</v>
      </c>
      <c r="D44" s="76" t="s">
        <v>179</v>
      </c>
      <c r="E44" s="126">
        <v>1</v>
      </c>
      <c r="F44" s="460">
        <v>1255203000</v>
      </c>
      <c r="G44" s="312">
        <v>0.99</v>
      </c>
      <c r="H44" s="494">
        <v>645220417</v>
      </c>
      <c r="I44" s="149">
        <f t="shared" ref="I44:I45" si="11">E44</f>
        <v>1</v>
      </c>
      <c r="J44" s="561">
        <v>205844500</v>
      </c>
      <c r="K44" s="153">
        <v>0.4</v>
      </c>
      <c r="L44" s="488">
        <v>58177420</v>
      </c>
      <c r="M44" s="153">
        <v>0.13600000000000001</v>
      </c>
      <c r="N44" s="488">
        <v>12968600</v>
      </c>
      <c r="O44" s="154">
        <v>0.05</v>
      </c>
      <c r="P44" s="488">
        <v>7602240</v>
      </c>
      <c r="Q44" s="154">
        <v>0.6</v>
      </c>
      <c r="R44" s="488">
        <v>123218470</v>
      </c>
      <c r="S44" s="153">
        <v>1.1399999999999999</v>
      </c>
      <c r="T44" s="492">
        <f>L44+N44+P44+R44</f>
        <v>201966730</v>
      </c>
      <c r="U44" s="153">
        <v>1.44</v>
      </c>
      <c r="V44" s="527">
        <f>H44+T44</f>
        <v>847187147</v>
      </c>
      <c r="W44" s="61">
        <f>(20/100)*100</f>
        <v>20</v>
      </c>
      <c r="X44" s="499">
        <f>(V44/F44)*100</f>
        <v>67.494034590420839</v>
      </c>
      <c r="Y44" s="78"/>
      <c r="Z44" s="37"/>
    </row>
    <row r="45" spans="1:27" s="1" customFormat="1" ht="41.25" customHeight="1" x14ac:dyDescent="0.35">
      <c r="A45" s="68"/>
      <c r="B45" s="8"/>
      <c r="C45" s="378"/>
      <c r="D45" s="76" t="s">
        <v>22</v>
      </c>
      <c r="E45" s="126" t="s">
        <v>42</v>
      </c>
      <c r="F45" s="461"/>
      <c r="G45" s="312" t="s">
        <v>53</v>
      </c>
      <c r="H45" s="461"/>
      <c r="I45" s="149" t="str">
        <f t="shared" si="11"/>
        <v>4 Dokumen</v>
      </c>
      <c r="J45" s="562"/>
      <c r="K45" s="152" t="s">
        <v>43</v>
      </c>
      <c r="L45" s="490"/>
      <c r="M45" s="152" t="str">
        <f>K45</f>
        <v>1 Dokumen</v>
      </c>
      <c r="N45" s="490"/>
      <c r="O45" s="152" t="s">
        <v>41</v>
      </c>
      <c r="P45" s="490"/>
      <c r="Q45" s="155" t="s">
        <v>41</v>
      </c>
      <c r="R45" s="490"/>
      <c r="S45" s="152" t="s">
        <v>397</v>
      </c>
      <c r="T45" s="493"/>
      <c r="U45" s="152" t="s">
        <v>53</v>
      </c>
      <c r="V45" s="528"/>
      <c r="W45" s="61">
        <f>(1/4)*100</f>
        <v>25</v>
      </c>
      <c r="X45" s="500"/>
      <c r="Y45" s="78"/>
      <c r="Z45" s="37"/>
    </row>
    <row r="46" spans="1:27" s="1" customFormat="1" ht="66" customHeight="1" x14ac:dyDescent="0.35">
      <c r="A46" s="68"/>
      <c r="B46" s="8"/>
      <c r="C46" s="378" t="s">
        <v>104</v>
      </c>
      <c r="D46" s="76" t="s">
        <v>21</v>
      </c>
      <c r="E46" s="156" t="s">
        <v>181</v>
      </c>
      <c r="F46" s="460">
        <v>357401000</v>
      </c>
      <c r="G46" s="312" t="s">
        <v>303</v>
      </c>
      <c r="H46" s="494">
        <v>269614800</v>
      </c>
      <c r="I46" s="149" t="s">
        <v>449</v>
      </c>
      <c r="J46" s="561">
        <v>37916000</v>
      </c>
      <c r="K46" s="150" t="s">
        <v>445</v>
      </c>
      <c r="L46" s="488">
        <v>7913600</v>
      </c>
      <c r="M46" s="150" t="s">
        <v>450</v>
      </c>
      <c r="N46" s="488">
        <v>12106500</v>
      </c>
      <c r="O46" s="150" t="s">
        <v>542</v>
      </c>
      <c r="P46" s="488">
        <v>4896000</v>
      </c>
      <c r="Q46" s="150" t="s">
        <v>565</v>
      </c>
      <c r="R46" s="488">
        <v>13612500</v>
      </c>
      <c r="S46" s="150" t="s">
        <v>583</v>
      </c>
      <c r="T46" s="492">
        <f>L46+N46+P46+R46</f>
        <v>38528600</v>
      </c>
      <c r="U46" s="150" t="s">
        <v>495</v>
      </c>
      <c r="V46" s="527">
        <f>H46+T46</f>
        <v>308143400</v>
      </c>
      <c r="W46" s="61">
        <f>(600/2000)*100</f>
        <v>30</v>
      </c>
      <c r="X46" s="499">
        <f>(V46/F46)*100</f>
        <v>86.217833749765674</v>
      </c>
      <c r="Y46" s="78"/>
      <c r="Z46" s="37"/>
    </row>
    <row r="47" spans="1:27" s="1" customFormat="1" ht="77.25" customHeight="1" x14ac:dyDescent="0.35">
      <c r="A47" s="68"/>
      <c r="B47" s="8"/>
      <c r="C47" s="71"/>
      <c r="D47" s="76" t="s">
        <v>180</v>
      </c>
      <c r="E47" s="157" t="s">
        <v>183</v>
      </c>
      <c r="F47" s="461"/>
      <c r="G47" s="321">
        <v>0</v>
      </c>
      <c r="H47" s="461"/>
      <c r="I47" s="149">
        <v>0</v>
      </c>
      <c r="J47" s="562"/>
      <c r="K47" s="143">
        <v>0</v>
      </c>
      <c r="L47" s="490"/>
      <c r="M47" s="143"/>
      <c r="N47" s="490"/>
      <c r="O47" s="120"/>
      <c r="P47" s="490"/>
      <c r="Q47" s="120"/>
      <c r="R47" s="490"/>
      <c r="S47" s="120"/>
      <c r="T47" s="493"/>
      <c r="U47" s="143">
        <v>0</v>
      </c>
      <c r="V47" s="528"/>
      <c r="W47" s="143">
        <v>0</v>
      </c>
      <c r="X47" s="500"/>
      <c r="Y47" s="78"/>
      <c r="Z47" s="37"/>
    </row>
    <row r="48" spans="1:27" s="1" customFormat="1" ht="77.25" customHeight="1" x14ac:dyDescent="0.35">
      <c r="A48" s="290">
        <v>3</v>
      </c>
      <c r="B48" s="291"/>
      <c r="C48" s="292" t="s">
        <v>329</v>
      </c>
      <c r="D48" s="108" t="s">
        <v>330</v>
      </c>
      <c r="E48" s="173">
        <v>1</v>
      </c>
      <c r="F48" s="322">
        <v>18366425750</v>
      </c>
      <c r="G48" s="309">
        <v>0</v>
      </c>
      <c r="H48" s="323">
        <f>H49+H54+H56</f>
        <v>24965371983</v>
      </c>
      <c r="I48" s="140">
        <f>E48</f>
        <v>1</v>
      </c>
      <c r="J48" s="403">
        <f>J49+J54+J56</f>
        <v>14021446796</v>
      </c>
      <c r="K48" s="454">
        <v>0.25</v>
      </c>
      <c r="L48" s="106">
        <f>L49+L54+L56</f>
        <v>3788197415</v>
      </c>
      <c r="M48" s="454">
        <v>0.26</v>
      </c>
      <c r="N48" s="106">
        <f>N49+N54+N56</f>
        <v>3728238328</v>
      </c>
      <c r="O48" s="454">
        <v>0.17399999999999999</v>
      </c>
      <c r="P48" s="106">
        <f>P49+P54+P56</f>
        <v>2484115672</v>
      </c>
      <c r="Q48" s="454">
        <v>0.20899999999999999</v>
      </c>
      <c r="R48" s="106">
        <f>R49+R54+R56</f>
        <v>2933871631</v>
      </c>
      <c r="S48" s="110">
        <v>0.93620000000000003</v>
      </c>
      <c r="T48" s="394">
        <f>L48+N48+P48+R48</f>
        <v>12934423046</v>
      </c>
      <c r="U48" s="62"/>
      <c r="V48" s="364">
        <f>H48+T48</f>
        <v>37899795029</v>
      </c>
      <c r="W48" s="87"/>
      <c r="X48" s="64">
        <f>(V48/F48)*100</f>
        <v>206.3536778733336</v>
      </c>
      <c r="Y48" s="100" t="s">
        <v>331</v>
      </c>
    </row>
    <row r="49" spans="1:25" s="1" customFormat="1" ht="32.25" customHeight="1" x14ac:dyDescent="0.35">
      <c r="A49" s="68"/>
      <c r="B49" s="277"/>
      <c r="C49" s="76" t="s">
        <v>332</v>
      </c>
      <c r="D49" s="92" t="s">
        <v>333</v>
      </c>
      <c r="E49" s="278" t="s">
        <v>334</v>
      </c>
      <c r="F49" s="494">
        <v>9967380750</v>
      </c>
      <c r="G49" s="311">
        <v>180</v>
      </c>
      <c r="H49" s="495">
        <v>11947991584</v>
      </c>
      <c r="I49" s="142" t="s">
        <v>334</v>
      </c>
      <c r="J49" s="462">
        <v>6702183400</v>
      </c>
      <c r="K49" s="119">
        <v>30</v>
      </c>
      <c r="L49" s="488">
        <v>3053573050</v>
      </c>
      <c r="M49" s="119" t="s">
        <v>399</v>
      </c>
      <c r="N49" s="488">
        <v>617196300</v>
      </c>
      <c r="O49" s="117" t="s">
        <v>559</v>
      </c>
      <c r="P49" s="488">
        <v>1086364463</v>
      </c>
      <c r="Q49" s="117"/>
      <c r="R49" s="488">
        <v>1193364463</v>
      </c>
      <c r="S49" s="119" t="s">
        <v>334</v>
      </c>
      <c r="T49" s="492">
        <f>L49+N49+P49+R49</f>
        <v>5950498276</v>
      </c>
      <c r="U49" s="398" t="s">
        <v>498</v>
      </c>
      <c r="V49" s="529">
        <f>H49+T49</f>
        <v>17898489860</v>
      </c>
      <c r="W49" s="87"/>
      <c r="X49" s="499">
        <f>(V49/F49)*100</f>
        <v>179.57064457480467</v>
      </c>
      <c r="Y49" s="53"/>
    </row>
    <row r="50" spans="1:25" s="1" customFormat="1" ht="57.75" customHeight="1" x14ac:dyDescent="0.35">
      <c r="A50" s="68"/>
      <c r="B50" s="277"/>
      <c r="C50" s="76"/>
      <c r="D50" s="92" t="s">
        <v>335</v>
      </c>
      <c r="E50" s="279" t="s">
        <v>336</v>
      </c>
      <c r="F50" s="460"/>
      <c r="G50" s="324" t="s">
        <v>337</v>
      </c>
      <c r="H50" s="496"/>
      <c r="I50" s="142" t="s">
        <v>451</v>
      </c>
      <c r="J50" s="463"/>
      <c r="K50" s="119"/>
      <c r="L50" s="489"/>
      <c r="M50" s="119"/>
      <c r="N50" s="489"/>
      <c r="O50" s="135"/>
      <c r="P50" s="489"/>
      <c r="Q50" s="135"/>
      <c r="R50" s="489"/>
      <c r="S50" s="119">
        <v>0</v>
      </c>
      <c r="T50" s="498"/>
      <c r="U50" s="119" t="s">
        <v>337</v>
      </c>
      <c r="V50" s="530"/>
      <c r="W50" s="87">
        <f>(35/500)*100</f>
        <v>7.0000000000000009</v>
      </c>
      <c r="X50" s="516"/>
      <c r="Y50" s="53"/>
    </row>
    <row r="51" spans="1:25" s="1" customFormat="1" ht="50.25" customHeight="1" x14ac:dyDescent="0.35">
      <c r="A51" s="68"/>
      <c r="B51" s="277"/>
      <c r="C51" s="76"/>
      <c r="D51" s="92" t="s">
        <v>338</v>
      </c>
      <c r="E51" s="278" t="s">
        <v>339</v>
      </c>
      <c r="F51" s="460"/>
      <c r="G51" s="310" t="s">
        <v>339</v>
      </c>
      <c r="H51" s="496"/>
      <c r="I51" s="142" t="s">
        <v>453</v>
      </c>
      <c r="J51" s="463"/>
      <c r="K51" s="119" t="s">
        <v>452</v>
      </c>
      <c r="L51" s="489"/>
      <c r="M51" s="119" t="s">
        <v>452</v>
      </c>
      <c r="N51" s="489"/>
      <c r="O51" s="119"/>
      <c r="P51" s="489"/>
      <c r="Q51" s="119" t="s">
        <v>566</v>
      </c>
      <c r="R51" s="489"/>
      <c r="S51" s="119" t="s">
        <v>339</v>
      </c>
      <c r="T51" s="498"/>
      <c r="U51" s="398" t="s">
        <v>499</v>
      </c>
      <c r="V51" s="530"/>
      <c r="W51" s="87"/>
      <c r="X51" s="516"/>
      <c r="Y51" s="53"/>
    </row>
    <row r="52" spans="1:25" s="1" customFormat="1" ht="51.75" customHeight="1" x14ac:dyDescent="0.35">
      <c r="A52" s="68"/>
      <c r="B52" s="9"/>
      <c r="C52" s="76"/>
      <c r="D52" s="92" t="s">
        <v>454</v>
      </c>
      <c r="E52" s="126" t="s">
        <v>455</v>
      </c>
      <c r="F52" s="460"/>
      <c r="G52" s="310" t="s">
        <v>456</v>
      </c>
      <c r="H52" s="496"/>
      <c r="I52" s="142" t="s">
        <v>457</v>
      </c>
      <c r="J52" s="463"/>
      <c r="K52" s="119" t="s">
        <v>457</v>
      </c>
      <c r="L52" s="489"/>
      <c r="M52" s="419" t="s">
        <v>416</v>
      </c>
      <c r="N52" s="489"/>
      <c r="O52" s="119" t="s">
        <v>560</v>
      </c>
      <c r="P52" s="489"/>
      <c r="Q52" s="120" t="s">
        <v>567</v>
      </c>
      <c r="R52" s="489"/>
      <c r="S52" s="119" t="s">
        <v>500</v>
      </c>
      <c r="T52" s="498"/>
      <c r="U52" s="119" t="s">
        <v>568</v>
      </c>
      <c r="V52" s="530"/>
      <c r="W52" s="87"/>
      <c r="X52" s="516"/>
      <c r="Y52" s="53"/>
    </row>
    <row r="53" spans="1:25" s="1" customFormat="1" ht="54.75" customHeight="1" x14ac:dyDescent="0.35">
      <c r="A53" s="68"/>
      <c r="B53" s="9"/>
      <c r="C53" s="76"/>
      <c r="D53" s="92" t="s">
        <v>340</v>
      </c>
      <c r="E53" s="278" t="s">
        <v>502</v>
      </c>
      <c r="F53" s="461"/>
      <c r="G53" s="310" t="s">
        <v>503</v>
      </c>
      <c r="H53" s="497"/>
      <c r="I53" s="142" t="s">
        <v>501</v>
      </c>
      <c r="J53" s="464"/>
      <c r="K53" s="119" t="s">
        <v>414</v>
      </c>
      <c r="L53" s="490"/>
      <c r="M53" s="119" t="s">
        <v>414</v>
      </c>
      <c r="N53" s="490"/>
      <c r="O53" s="142"/>
      <c r="P53" s="490"/>
      <c r="Q53" s="142"/>
      <c r="R53" s="490"/>
      <c r="S53" s="398" t="s">
        <v>503</v>
      </c>
      <c r="T53" s="493"/>
      <c r="U53" s="119" t="s">
        <v>412</v>
      </c>
      <c r="V53" s="531"/>
      <c r="W53" s="87"/>
      <c r="X53" s="500"/>
      <c r="Y53" s="53"/>
    </row>
    <row r="54" spans="1:25" s="1" customFormat="1" ht="54.75" customHeight="1" x14ac:dyDescent="0.35">
      <c r="A54" s="68"/>
      <c r="B54" s="9"/>
      <c r="C54" s="457" t="s">
        <v>342</v>
      </c>
      <c r="D54" s="92" t="s">
        <v>343</v>
      </c>
      <c r="E54" s="288" t="s">
        <v>458</v>
      </c>
      <c r="F54" s="460">
        <v>4223385000</v>
      </c>
      <c r="G54" s="329" t="s">
        <v>344</v>
      </c>
      <c r="H54" s="495">
        <v>8329138455</v>
      </c>
      <c r="I54" s="142" t="str">
        <f t="shared" ref="I54:I56" si="12">E54</f>
        <v>300 orang</v>
      </c>
      <c r="J54" s="462">
        <v>3378077000</v>
      </c>
      <c r="K54" s="119" t="s">
        <v>463</v>
      </c>
      <c r="L54" s="488">
        <v>229250619</v>
      </c>
      <c r="M54" s="119" t="s">
        <v>465</v>
      </c>
      <c r="N54" s="488">
        <v>2413113028</v>
      </c>
      <c r="O54" s="119" t="s">
        <v>561</v>
      </c>
      <c r="P54" s="488">
        <v>126692580</v>
      </c>
      <c r="Q54" s="119" t="s">
        <v>570</v>
      </c>
      <c r="R54" s="488">
        <v>480151966</v>
      </c>
      <c r="S54" s="61" t="s">
        <v>504</v>
      </c>
      <c r="T54" s="492">
        <f>L54+N54+P54+R54</f>
        <v>3249208193</v>
      </c>
      <c r="U54" s="61" t="s">
        <v>505</v>
      </c>
      <c r="V54" s="523">
        <f>H54+T54</f>
        <v>11578346648</v>
      </c>
      <c r="W54" s="87"/>
      <c r="X54" s="499">
        <f>(V54/F54)*100</f>
        <v>274.14850050374287</v>
      </c>
      <c r="Y54" s="53"/>
    </row>
    <row r="55" spans="1:25" s="1" customFormat="1" ht="54.75" customHeight="1" x14ac:dyDescent="0.35">
      <c r="A55" s="68"/>
      <c r="B55" s="9"/>
      <c r="C55" s="459"/>
      <c r="D55" s="92" t="s">
        <v>459</v>
      </c>
      <c r="E55" s="415" t="s">
        <v>460</v>
      </c>
      <c r="F55" s="461"/>
      <c r="G55" s="359" t="s">
        <v>461</v>
      </c>
      <c r="H55" s="497"/>
      <c r="I55" s="142" t="s">
        <v>462</v>
      </c>
      <c r="J55" s="464"/>
      <c r="K55" s="280" t="s">
        <v>464</v>
      </c>
      <c r="L55" s="490"/>
      <c r="M55" s="280" t="s">
        <v>464</v>
      </c>
      <c r="N55" s="490"/>
      <c r="O55" s="395"/>
      <c r="P55" s="490"/>
      <c r="Q55" s="120" t="s">
        <v>569</v>
      </c>
      <c r="R55" s="490"/>
      <c r="S55" s="450" t="s">
        <v>506</v>
      </c>
      <c r="T55" s="493"/>
      <c r="U55" s="67" t="s">
        <v>507</v>
      </c>
      <c r="V55" s="524"/>
      <c r="W55" s="87">
        <f>(58/80)*100</f>
        <v>72.5</v>
      </c>
      <c r="X55" s="500"/>
      <c r="Y55" s="53"/>
    </row>
    <row r="56" spans="1:25" s="1" customFormat="1" ht="64.5" customHeight="1" x14ac:dyDescent="0.35">
      <c r="A56" s="68"/>
      <c r="B56" s="9"/>
      <c r="C56" s="457" t="s">
        <v>345</v>
      </c>
      <c r="D56" s="281" t="s">
        <v>346</v>
      </c>
      <c r="E56" s="278" t="s">
        <v>341</v>
      </c>
      <c r="F56" s="460">
        <v>4175660000</v>
      </c>
      <c r="G56" s="278" t="s">
        <v>341</v>
      </c>
      <c r="H56" s="495">
        <v>4688241944</v>
      </c>
      <c r="I56" s="142" t="str">
        <f t="shared" si="12"/>
        <v>9 penyelenggaran</v>
      </c>
      <c r="J56" s="462">
        <v>3941186396</v>
      </c>
      <c r="K56" s="113" t="s">
        <v>470</v>
      </c>
      <c r="L56" s="465">
        <v>505373746</v>
      </c>
      <c r="M56" s="113" t="str">
        <f>K56</f>
        <v>1 penyelenggaraan</v>
      </c>
      <c r="N56" s="468">
        <v>697929000</v>
      </c>
      <c r="O56" s="113" t="s">
        <v>474</v>
      </c>
      <c r="P56" s="471">
        <v>1271058629</v>
      </c>
      <c r="Q56" s="282" t="s">
        <v>473</v>
      </c>
      <c r="R56" s="471">
        <v>1260355202</v>
      </c>
      <c r="S56" s="113" t="s">
        <v>571</v>
      </c>
      <c r="T56" s="471">
        <f>L56+N56+P56+R56</f>
        <v>3734716577</v>
      </c>
      <c r="U56" s="113" t="s">
        <v>508</v>
      </c>
      <c r="V56" s="586">
        <f>H56+T56</f>
        <v>8422958521</v>
      </c>
      <c r="W56" s="113">
        <v>0</v>
      </c>
      <c r="X56" s="532">
        <f>(V56/F56)*100</f>
        <v>201.71562150654029</v>
      </c>
      <c r="Y56" s="53"/>
    </row>
    <row r="57" spans="1:25" s="1" customFormat="1" ht="70.5" customHeight="1" x14ac:dyDescent="0.35">
      <c r="A57" s="68"/>
      <c r="B57" s="9"/>
      <c r="C57" s="458"/>
      <c r="D57" s="92" t="s">
        <v>347</v>
      </c>
      <c r="E57" s="278" t="s">
        <v>348</v>
      </c>
      <c r="F57" s="460"/>
      <c r="G57" s="310" t="s">
        <v>468</v>
      </c>
      <c r="H57" s="496"/>
      <c r="I57" s="142" t="s">
        <v>469</v>
      </c>
      <c r="J57" s="463"/>
      <c r="K57" s="113"/>
      <c r="L57" s="466"/>
      <c r="M57" s="113" t="s">
        <v>471</v>
      </c>
      <c r="N57" s="469"/>
      <c r="O57" s="113"/>
      <c r="P57" s="472"/>
      <c r="Q57" s="283"/>
      <c r="R57" s="472"/>
      <c r="S57" s="113" t="s">
        <v>471</v>
      </c>
      <c r="T57" s="474"/>
      <c r="U57" s="113" t="s">
        <v>509</v>
      </c>
      <c r="V57" s="587"/>
      <c r="W57" s="113">
        <v>0</v>
      </c>
      <c r="X57" s="474"/>
      <c r="Y57" s="53"/>
    </row>
    <row r="58" spans="1:25" s="1" customFormat="1" ht="70.5" customHeight="1" x14ac:dyDescent="0.35">
      <c r="A58" s="68"/>
      <c r="B58" s="9"/>
      <c r="C58" s="458"/>
      <c r="D58" s="92" t="s">
        <v>466</v>
      </c>
      <c r="E58" s="278" t="s">
        <v>467</v>
      </c>
      <c r="F58" s="460"/>
      <c r="G58" s="310"/>
      <c r="H58" s="496"/>
      <c r="I58" s="142" t="str">
        <f>E58</f>
        <v>21 orang</v>
      </c>
      <c r="J58" s="463"/>
      <c r="K58" s="113"/>
      <c r="L58" s="466"/>
      <c r="M58" s="113"/>
      <c r="N58" s="469"/>
      <c r="O58" s="113" t="s">
        <v>562</v>
      </c>
      <c r="P58" s="472"/>
      <c r="Q58" s="445"/>
      <c r="R58" s="472"/>
      <c r="S58" s="113"/>
      <c r="T58" s="474"/>
      <c r="U58" s="113"/>
      <c r="V58" s="587"/>
      <c r="W58" s="113"/>
      <c r="X58" s="474"/>
      <c r="Y58" s="53"/>
    </row>
    <row r="59" spans="1:25" s="1" customFormat="1" ht="75" customHeight="1" x14ac:dyDescent="0.35">
      <c r="A59" s="68"/>
      <c r="B59" s="9"/>
      <c r="C59" s="459"/>
      <c r="D59" s="448" t="s">
        <v>472</v>
      </c>
      <c r="E59" s="444" t="s">
        <v>473</v>
      </c>
      <c r="F59" s="461"/>
      <c r="G59" s="310">
        <v>0</v>
      </c>
      <c r="H59" s="497"/>
      <c r="I59" s="447" t="str">
        <f>E59</f>
        <v>4 penyelenggaraan</v>
      </c>
      <c r="J59" s="464"/>
      <c r="K59" s="113" t="s">
        <v>474</v>
      </c>
      <c r="L59" s="467"/>
      <c r="M59" s="113" t="s">
        <v>474</v>
      </c>
      <c r="N59" s="470"/>
      <c r="O59" s="113" t="s">
        <v>474</v>
      </c>
      <c r="P59" s="473"/>
      <c r="Q59" s="283"/>
      <c r="R59" s="473"/>
      <c r="S59" s="113" t="s">
        <v>510</v>
      </c>
      <c r="T59" s="475"/>
      <c r="U59" s="113" t="s">
        <v>511</v>
      </c>
      <c r="V59" s="588"/>
      <c r="W59" s="113">
        <v>0</v>
      </c>
      <c r="X59" s="475"/>
      <c r="Y59" s="53"/>
    </row>
    <row r="60" spans="1:25" s="1" customFormat="1" ht="10.5" customHeight="1" x14ac:dyDescent="0.35">
      <c r="A60" s="65"/>
      <c r="B60" s="7"/>
      <c r="C60" s="263"/>
      <c r="D60" s="72"/>
      <c r="E60" s="54"/>
      <c r="F60" s="325"/>
      <c r="G60" s="326"/>
      <c r="H60" s="326"/>
      <c r="I60" s="65"/>
      <c r="J60" s="59"/>
      <c r="K60" s="54"/>
      <c r="L60" s="54"/>
      <c r="M60" s="54"/>
      <c r="N60" s="54"/>
      <c r="O60" s="54"/>
      <c r="P60" s="54"/>
      <c r="Q60" s="54"/>
      <c r="R60" s="54"/>
      <c r="S60" s="54">
        <f t="shared" ref="S60" si="13">K60</f>
        <v>0</v>
      </c>
      <c r="T60" s="54">
        <f t="shared" ref="T60" si="14">L60</f>
        <v>0</v>
      </c>
      <c r="U60" s="55">
        <f t="shared" ref="U60" si="15">G60+S60*100%</f>
        <v>0</v>
      </c>
      <c r="V60" s="365">
        <f t="shared" ref="V60" si="16">H60+T60</f>
        <v>0</v>
      </c>
      <c r="W60" s="54" t="e">
        <f>(U60/E60)*100</f>
        <v>#DIV/0!</v>
      </c>
      <c r="X60" s="66" t="e">
        <f t="shared" ref="X60" si="17">SUM(V60/F60)*100</f>
        <v>#DIV/0!</v>
      </c>
      <c r="Y60" s="65"/>
    </row>
    <row r="61" spans="1:25" s="1" customFormat="1" ht="105" customHeight="1" x14ac:dyDescent="0.35">
      <c r="A61" s="91">
        <v>4</v>
      </c>
      <c r="B61" s="159" t="s">
        <v>323</v>
      </c>
      <c r="C61" s="144" t="s">
        <v>106</v>
      </c>
      <c r="D61" s="160" t="s">
        <v>184</v>
      </c>
      <c r="E61" s="161">
        <v>0.9</v>
      </c>
      <c r="F61" s="327">
        <v>1918359927</v>
      </c>
      <c r="G61" s="319">
        <v>0</v>
      </c>
      <c r="H61" s="320">
        <f>H62+H63+H64</f>
        <v>1755521905</v>
      </c>
      <c r="I61" s="362">
        <f>E61</f>
        <v>0.9</v>
      </c>
      <c r="J61" s="162">
        <f>J62+J63+J64</f>
        <v>651276000</v>
      </c>
      <c r="K61" s="362">
        <v>0.17</v>
      </c>
      <c r="L61" s="363">
        <f>L62+L63+L64</f>
        <v>41115982</v>
      </c>
      <c r="M61" s="140">
        <v>0.12</v>
      </c>
      <c r="N61" s="106">
        <f>N62+N63+N64</f>
        <v>29000790</v>
      </c>
      <c r="O61" s="106"/>
      <c r="P61" s="106">
        <f>P62+P63+P64</f>
        <v>120748238</v>
      </c>
      <c r="Q61" s="106"/>
      <c r="R61" s="106">
        <f>R62+R63+R64</f>
        <v>455132490</v>
      </c>
      <c r="S61" s="163">
        <v>0.39</v>
      </c>
      <c r="T61" s="106">
        <f>L61+N61+P61+R61</f>
        <v>645997500</v>
      </c>
      <c r="U61" s="164"/>
      <c r="V61" s="364">
        <f t="shared" ref="V61:V69" si="18">H61+T61</f>
        <v>2401519405</v>
      </c>
      <c r="W61" s="105"/>
      <c r="X61" s="138">
        <f>(V61/F61)*100</f>
        <v>125.18607020506221</v>
      </c>
      <c r="Y61" s="100" t="s">
        <v>24</v>
      </c>
    </row>
    <row r="62" spans="1:25" s="1" customFormat="1" ht="66.75" customHeight="1" x14ac:dyDescent="0.35">
      <c r="A62" s="68"/>
      <c r="B62" s="159"/>
      <c r="C62" s="378" t="s">
        <v>107</v>
      </c>
      <c r="D62" s="165" t="s">
        <v>185</v>
      </c>
      <c r="E62" s="166" t="s">
        <v>294</v>
      </c>
      <c r="F62" s="328">
        <v>1088359927</v>
      </c>
      <c r="G62" s="329" t="s">
        <v>294</v>
      </c>
      <c r="H62" s="330">
        <v>758603265</v>
      </c>
      <c r="I62" s="142" t="str">
        <f t="shared" ref="I62:I67" si="19">E62</f>
        <v>2 BUMD</v>
      </c>
      <c r="J62" s="167">
        <v>508118615</v>
      </c>
      <c r="K62" s="166" t="s">
        <v>368</v>
      </c>
      <c r="L62" s="119">
        <v>26458930</v>
      </c>
      <c r="M62" s="166" t="s">
        <v>368</v>
      </c>
      <c r="N62" s="119">
        <v>18900790</v>
      </c>
      <c r="O62" s="142" t="s">
        <v>544</v>
      </c>
      <c r="P62" s="119">
        <v>87610453</v>
      </c>
      <c r="Q62" s="142"/>
      <c r="R62" s="119">
        <v>374022380</v>
      </c>
      <c r="S62" s="67" t="str">
        <f>K62</f>
        <v>3 BUMD</v>
      </c>
      <c r="T62" s="119">
        <f>+R62+P62+N62+L62</f>
        <v>506992553</v>
      </c>
      <c r="U62" s="87" t="s">
        <v>375</v>
      </c>
      <c r="V62" s="350">
        <f t="shared" si="18"/>
        <v>1265595818</v>
      </c>
      <c r="W62" s="61">
        <f>(3/3)*100</f>
        <v>100</v>
      </c>
      <c r="X62" s="138">
        <f>(V62/F62)*100</f>
        <v>116.2846762916511</v>
      </c>
      <c r="Y62" s="78"/>
    </row>
    <row r="63" spans="1:25" s="1" customFormat="1" ht="60" customHeight="1" x14ac:dyDescent="0.35">
      <c r="A63" s="68"/>
      <c r="B63" s="159"/>
      <c r="C63" s="378" t="s">
        <v>108</v>
      </c>
      <c r="D63" s="165" t="s">
        <v>186</v>
      </c>
      <c r="E63" s="168" t="s">
        <v>190</v>
      </c>
      <c r="F63" s="167">
        <v>580000000</v>
      </c>
      <c r="G63" s="324" t="s">
        <v>190</v>
      </c>
      <c r="H63" s="330">
        <v>188918600</v>
      </c>
      <c r="I63" s="142" t="str">
        <f t="shared" si="19"/>
        <v>11 perangkat daerah</v>
      </c>
      <c r="J63" s="167">
        <v>98887385</v>
      </c>
      <c r="K63" s="142" t="s">
        <v>376</v>
      </c>
      <c r="L63" s="119">
        <v>10457052</v>
      </c>
      <c r="M63" s="142" t="s">
        <v>376</v>
      </c>
      <c r="N63" s="119">
        <v>7300000</v>
      </c>
      <c r="O63" s="119" t="s">
        <v>543</v>
      </c>
      <c r="P63" s="119">
        <v>27559785</v>
      </c>
      <c r="Q63" s="119"/>
      <c r="R63" s="119">
        <v>53088500</v>
      </c>
      <c r="S63" s="67" t="str">
        <f>K63</f>
        <v>7 pasar / 3 gudang</v>
      </c>
      <c r="T63" s="119">
        <f>L63+N63+P63+R63</f>
        <v>98405337</v>
      </c>
      <c r="U63" s="87" t="str">
        <f t="shared" ref="U63:U64" si="20">S63</f>
        <v>7 pasar / 3 gudang</v>
      </c>
      <c r="V63" s="350">
        <f t="shared" si="18"/>
        <v>287323937</v>
      </c>
      <c r="W63" s="61">
        <f>(11/11)*100</f>
        <v>100</v>
      </c>
      <c r="X63" s="138">
        <f>(V63/F63)*100</f>
        <v>49.538609827586207</v>
      </c>
      <c r="Y63" s="78"/>
    </row>
    <row r="64" spans="1:25" s="1" customFormat="1" ht="52.5" customHeight="1" x14ac:dyDescent="0.35">
      <c r="A64" s="68"/>
      <c r="B64" s="159"/>
      <c r="C64" s="378" t="s">
        <v>109</v>
      </c>
      <c r="D64" s="169" t="s">
        <v>187</v>
      </c>
      <c r="E64" s="168" t="s">
        <v>191</v>
      </c>
      <c r="F64" s="167">
        <v>250000000</v>
      </c>
      <c r="G64" s="324" t="s">
        <v>292</v>
      </c>
      <c r="H64" s="330">
        <v>808000040</v>
      </c>
      <c r="I64" s="142" t="str">
        <f t="shared" si="19"/>
        <v>10 pasar dan gudang</v>
      </c>
      <c r="J64" s="167">
        <v>44270000</v>
      </c>
      <c r="K64" s="142" t="s">
        <v>369</v>
      </c>
      <c r="L64" s="170">
        <v>4200000</v>
      </c>
      <c r="M64" s="142" t="s">
        <v>369</v>
      </c>
      <c r="N64" s="170">
        <v>2800000</v>
      </c>
      <c r="O64" s="142" t="s">
        <v>543</v>
      </c>
      <c r="P64" s="384">
        <v>5578000</v>
      </c>
      <c r="Q64" s="142"/>
      <c r="R64" s="170">
        <v>28021610</v>
      </c>
      <c r="S64" s="67" t="str">
        <f>K64</f>
        <v>10 lokasi</v>
      </c>
      <c r="T64" s="171">
        <f>L64+N64+P64+R64</f>
        <v>40599610</v>
      </c>
      <c r="U64" s="87" t="str">
        <f t="shared" si="20"/>
        <v>10 lokasi</v>
      </c>
      <c r="V64" s="350">
        <f t="shared" si="18"/>
        <v>848599650</v>
      </c>
      <c r="W64" s="61">
        <f>(7/7)*100</f>
        <v>100</v>
      </c>
      <c r="X64" s="138">
        <f>V64/F64*100</f>
        <v>339.43986000000001</v>
      </c>
      <c r="Y64" s="78"/>
    </row>
    <row r="65" spans="1:25" s="1" customFormat="1" ht="80.25" customHeight="1" x14ac:dyDescent="0.35">
      <c r="A65" s="68"/>
      <c r="B65" s="159"/>
      <c r="C65" s="144" t="s">
        <v>158</v>
      </c>
      <c r="D65" s="433" t="s">
        <v>188</v>
      </c>
      <c r="E65" s="432">
        <v>1</v>
      </c>
      <c r="F65" s="430">
        <v>1285000000</v>
      </c>
      <c r="G65" s="319">
        <v>0</v>
      </c>
      <c r="H65" s="320">
        <f>H66+H67</f>
        <v>4646464470</v>
      </c>
      <c r="I65" s="140">
        <f t="shared" si="19"/>
        <v>1</v>
      </c>
      <c r="J65" s="162">
        <f>J66+J67</f>
        <v>313380000</v>
      </c>
      <c r="K65" s="146"/>
      <c r="L65" s="106">
        <f>L66+L67</f>
        <v>11974000</v>
      </c>
      <c r="M65" s="146"/>
      <c r="N65" s="106">
        <f>N66+N67</f>
        <v>20519590</v>
      </c>
      <c r="O65" s="106"/>
      <c r="P65" s="106">
        <f>P67+P66</f>
        <v>94064250</v>
      </c>
      <c r="Q65" s="106"/>
      <c r="R65" s="106">
        <f>R66+R67</f>
        <v>186692020</v>
      </c>
      <c r="S65" s="173">
        <v>0.93</v>
      </c>
      <c r="T65" s="106">
        <f>L65+N65+P65+R65</f>
        <v>313249860</v>
      </c>
      <c r="U65" s="164">
        <f t="shared" ref="U65" si="21">S65</f>
        <v>0.93</v>
      </c>
      <c r="V65" s="364">
        <f t="shared" si="18"/>
        <v>4959714330</v>
      </c>
      <c r="W65" s="61">
        <f>(7/7)*100</f>
        <v>100</v>
      </c>
      <c r="X65" s="174">
        <f>(V65/F65)*100</f>
        <v>385.96998677042802</v>
      </c>
      <c r="Y65" s="78"/>
    </row>
    <row r="66" spans="1:25" s="1" customFormat="1" ht="80.25" customHeight="1" x14ac:dyDescent="0.35">
      <c r="A66" s="68"/>
      <c r="B66" s="159"/>
      <c r="C66" s="378" t="s">
        <v>426</v>
      </c>
      <c r="D66" s="172"/>
      <c r="E66" s="434"/>
      <c r="F66" s="327"/>
      <c r="G66" s="319"/>
      <c r="H66" s="428">
        <v>4507314400</v>
      </c>
      <c r="I66" s="142" t="s">
        <v>427</v>
      </c>
      <c r="J66" s="431">
        <v>281900000</v>
      </c>
      <c r="K66" s="142" t="s">
        <v>427</v>
      </c>
      <c r="L66" s="119">
        <v>8014000</v>
      </c>
      <c r="M66" s="142" t="s">
        <v>427</v>
      </c>
      <c r="N66" s="119">
        <v>16619590</v>
      </c>
      <c r="O66" s="429" t="s">
        <v>543</v>
      </c>
      <c r="P66" s="119">
        <v>76884750</v>
      </c>
      <c r="Q66" s="429"/>
      <c r="R66" s="119">
        <v>179923520</v>
      </c>
      <c r="S66" s="67" t="s">
        <v>427</v>
      </c>
      <c r="T66" s="119">
        <f>L66+N66+P66+R66</f>
        <v>281441860</v>
      </c>
      <c r="U66" s="164" t="s">
        <v>427</v>
      </c>
      <c r="V66" s="350">
        <f t="shared" si="18"/>
        <v>4788756260</v>
      </c>
      <c r="W66" s="61"/>
      <c r="X66" s="174"/>
      <c r="Y66" s="427"/>
    </row>
    <row r="67" spans="1:25" s="1" customFormat="1" ht="84" customHeight="1" x14ac:dyDescent="0.35">
      <c r="A67" s="68"/>
      <c r="B67" s="159"/>
      <c r="C67" s="378" t="s">
        <v>159</v>
      </c>
      <c r="D67" s="175" t="s">
        <v>189</v>
      </c>
      <c r="E67" s="284" t="s">
        <v>52</v>
      </c>
      <c r="F67" s="331">
        <v>380000000</v>
      </c>
      <c r="G67" s="329" t="s">
        <v>52</v>
      </c>
      <c r="H67" s="330">
        <v>139150070</v>
      </c>
      <c r="I67" s="142" t="str">
        <f t="shared" si="19"/>
        <v>4 Perangkat Daerah</v>
      </c>
      <c r="J67" s="167">
        <v>31480000</v>
      </c>
      <c r="K67" s="142" t="str">
        <f>I67</f>
        <v>4 Perangkat Daerah</v>
      </c>
      <c r="L67" s="119">
        <v>3960000</v>
      </c>
      <c r="M67" s="142" t="str">
        <f>K67</f>
        <v>4 Perangkat Daerah</v>
      </c>
      <c r="N67" s="119">
        <v>3900000</v>
      </c>
      <c r="O67" s="142"/>
      <c r="P67" s="119">
        <v>17179500</v>
      </c>
      <c r="Q67" s="142"/>
      <c r="R67" s="119">
        <v>6768500</v>
      </c>
      <c r="S67" s="67" t="str">
        <f>K67</f>
        <v>4 Perangkat Daerah</v>
      </c>
      <c r="T67" s="119">
        <f>L67+N67+P67+R67</f>
        <v>31808000</v>
      </c>
      <c r="U67" s="67" t="s">
        <v>512</v>
      </c>
      <c r="V67" s="366">
        <f t="shared" si="18"/>
        <v>170958070</v>
      </c>
      <c r="W67" s="61">
        <f>(4/4)*100</f>
        <v>100</v>
      </c>
      <c r="X67" s="138">
        <f>(V67/F67)*100</f>
        <v>44.988965789473681</v>
      </c>
      <c r="Y67" s="78"/>
    </row>
    <row r="68" spans="1:25" s="1" customFormat="1" ht="93.75" customHeight="1" x14ac:dyDescent="0.35">
      <c r="A68" s="91">
        <v>5</v>
      </c>
      <c r="B68" s="159" t="s">
        <v>323</v>
      </c>
      <c r="C68" s="379" t="s">
        <v>110</v>
      </c>
      <c r="D68" s="160" t="s">
        <v>192</v>
      </c>
      <c r="E68" s="161">
        <v>0.9</v>
      </c>
      <c r="F68" s="332">
        <v>1028625000</v>
      </c>
      <c r="G68" s="319" t="s">
        <v>349</v>
      </c>
      <c r="H68" s="320">
        <f>H69+H71+H73</f>
        <v>652818861</v>
      </c>
      <c r="I68" s="104">
        <f>E68</f>
        <v>0.9</v>
      </c>
      <c r="J68" s="177">
        <f>J69+J71+J73</f>
        <v>139921438</v>
      </c>
      <c r="K68" s="110">
        <v>0.26319999999999999</v>
      </c>
      <c r="L68" s="106">
        <f>L69+L71+L73</f>
        <v>24597700</v>
      </c>
      <c r="M68" s="110">
        <v>0.23680000000000001</v>
      </c>
      <c r="N68" s="106">
        <f>N69+N71+N73</f>
        <v>23905000</v>
      </c>
      <c r="O68" s="110"/>
      <c r="P68" s="106">
        <f>P69+P71+P73</f>
        <v>49086500</v>
      </c>
      <c r="Q68" s="110"/>
      <c r="R68" s="106">
        <f>R69+R71+R73</f>
        <v>41983000</v>
      </c>
      <c r="S68" s="110">
        <v>0.5</v>
      </c>
      <c r="T68" s="141">
        <f>R68+P68+N68+L68</f>
        <v>139572200</v>
      </c>
      <c r="U68" s="134">
        <v>0.99</v>
      </c>
      <c r="V68" s="364">
        <f t="shared" si="18"/>
        <v>792391061</v>
      </c>
      <c r="W68" s="105">
        <f>(U68/E68)*100</f>
        <v>109.99999999999999</v>
      </c>
      <c r="X68" s="188">
        <f>(V68/F68)*100</f>
        <v>77.03400763154697</v>
      </c>
      <c r="Y68" s="100" t="s">
        <v>25</v>
      </c>
    </row>
    <row r="69" spans="1:25" s="1" customFormat="1" ht="66" customHeight="1" x14ac:dyDescent="0.35">
      <c r="A69" s="68"/>
      <c r="B69" s="15"/>
      <c r="C69" s="259" t="s">
        <v>111</v>
      </c>
      <c r="D69" s="165" t="s">
        <v>193</v>
      </c>
      <c r="E69" s="178" t="s">
        <v>40</v>
      </c>
      <c r="F69" s="583">
        <v>347550000</v>
      </c>
      <c r="G69" s="333">
        <v>8</v>
      </c>
      <c r="H69" s="494">
        <v>232473400</v>
      </c>
      <c r="I69" s="136" t="str">
        <f t="shared" ref="I69:I73" si="22">E69</f>
        <v>2 dokumen</v>
      </c>
      <c r="J69" s="508">
        <v>43868760</v>
      </c>
      <c r="K69" s="179" t="s">
        <v>41</v>
      </c>
      <c r="L69" s="545">
        <v>5404200</v>
      </c>
      <c r="M69" s="179" t="s">
        <v>374</v>
      </c>
      <c r="N69" s="488">
        <v>5415000</v>
      </c>
      <c r="O69" s="179"/>
      <c r="P69" s="488">
        <v>19547000</v>
      </c>
      <c r="Q69" s="115"/>
      <c r="R69" s="488">
        <v>13286000</v>
      </c>
      <c r="S69" s="61">
        <v>8</v>
      </c>
      <c r="T69" s="492">
        <f>L69+N69+P69+R69</f>
        <v>43652200</v>
      </c>
      <c r="U69" s="62" t="s">
        <v>299</v>
      </c>
      <c r="V69" s="455">
        <f t="shared" si="18"/>
        <v>276125600</v>
      </c>
      <c r="W69" s="61">
        <f>(1/2)*100</f>
        <v>50</v>
      </c>
      <c r="X69" s="64">
        <f>(V69/F69)*100</f>
        <v>79.449172780894841</v>
      </c>
      <c r="Y69" s="78"/>
    </row>
    <row r="70" spans="1:25" s="1" customFormat="1" ht="58.5" customHeight="1" x14ac:dyDescent="0.35">
      <c r="A70" s="68"/>
      <c r="B70" s="15"/>
      <c r="C70" s="259"/>
      <c r="D70" s="165" t="s">
        <v>194</v>
      </c>
      <c r="E70" s="178" t="s">
        <v>54</v>
      </c>
      <c r="F70" s="584"/>
      <c r="G70" s="333">
        <v>2</v>
      </c>
      <c r="H70" s="461"/>
      <c r="I70" s="136" t="str">
        <f t="shared" si="22"/>
        <v>12 dokumen</v>
      </c>
      <c r="J70" s="547"/>
      <c r="K70" s="179" t="s">
        <v>357</v>
      </c>
      <c r="L70" s="546"/>
      <c r="M70" s="179" t="s">
        <v>357</v>
      </c>
      <c r="N70" s="490"/>
      <c r="O70" s="179">
        <v>3</v>
      </c>
      <c r="P70" s="490"/>
      <c r="Q70" s="120">
        <v>4</v>
      </c>
      <c r="R70" s="490"/>
      <c r="S70" s="61">
        <v>2</v>
      </c>
      <c r="T70" s="493"/>
      <c r="U70" s="62">
        <f>S70</f>
        <v>2</v>
      </c>
      <c r="V70" s="456"/>
      <c r="W70" s="61">
        <f>(2/12)*100</f>
        <v>16.666666666666664</v>
      </c>
      <c r="X70" s="64"/>
      <c r="Y70" s="78"/>
    </row>
    <row r="71" spans="1:25" s="1" customFormat="1" ht="54.75" customHeight="1" x14ac:dyDescent="0.35">
      <c r="A71" s="68"/>
      <c r="B71" s="15"/>
      <c r="C71" s="259" t="s">
        <v>112</v>
      </c>
      <c r="D71" s="165" t="s">
        <v>195</v>
      </c>
      <c r="E71" s="178" t="s">
        <v>54</v>
      </c>
      <c r="F71" s="583">
        <v>470800000</v>
      </c>
      <c r="G71" s="334" t="s">
        <v>40</v>
      </c>
      <c r="H71" s="494">
        <v>297342294</v>
      </c>
      <c r="I71" s="136" t="str">
        <f t="shared" si="22"/>
        <v>12 dokumen</v>
      </c>
      <c r="J71" s="508">
        <v>69303300</v>
      </c>
      <c r="K71" s="136" t="s">
        <v>357</v>
      </c>
      <c r="L71" s="488">
        <v>16085000</v>
      </c>
      <c r="M71" s="136" t="s">
        <v>357</v>
      </c>
      <c r="N71" s="488">
        <v>14806500</v>
      </c>
      <c r="O71" s="115"/>
      <c r="P71" s="488">
        <v>19081500</v>
      </c>
      <c r="Q71" s="115"/>
      <c r="R71" s="488">
        <v>19306500</v>
      </c>
      <c r="S71" s="62" t="str">
        <f>K71</f>
        <v>3 dokumen</v>
      </c>
      <c r="T71" s="492">
        <f>L71+N71+P71+R71</f>
        <v>69279500</v>
      </c>
      <c r="U71" s="62" t="str">
        <f>S71</f>
        <v>3 dokumen</v>
      </c>
      <c r="V71" s="455">
        <f>T71+H71</f>
        <v>366621794</v>
      </c>
      <c r="W71" s="61">
        <f>(2/12)*100</f>
        <v>16.666666666666664</v>
      </c>
      <c r="X71" s="499">
        <f>(V71/F71)*100</f>
        <v>77.872088785046728</v>
      </c>
      <c r="Y71" s="78"/>
    </row>
    <row r="72" spans="1:25" s="1" customFormat="1" ht="54.75" customHeight="1" x14ac:dyDescent="0.35">
      <c r="A72" s="68"/>
      <c r="B72" s="15"/>
      <c r="C72" s="259"/>
      <c r="D72" s="165" t="s">
        <v>196</v>
      </c>
      <c r="E72" s="178" t="s">
        <v>198</v>
      </c>
      <c r="F72" s="585"/>
      <c r="G72" s="335" t="str">
        <f>E72</f>
        <v>50 perangkat daerah</v>
      </c>
      <c r="H72" s="461"/>
      <c r="I72" s="180" t="str">
        <f t="shared" si="22"/>
        <v>50 perangkat daerah</v>
      </c>
      <c r="J72" s="509"/>
      <c r="K72" s="180" t="s">
        <v>358</v>
      </c>
      <c r="L72" s="490"/>
      <c r="M72" s="180" t="s">
        <v>358</v>
      </c>
      <c r="N72" s="490"/>
      <c r="O72" s="120">
        <v>47</v>
      </c>
      <c r="P72" s="490"/>
      <c r="Q72" s="120">
        <v>47</v>
      </c>
      <c r="R72" s="490"/>
      <c r="S72" s="67" t="str">
        <f>K72</f>
        <v>47 perangkat daerah</v>
      </c>
      <c r="T72" s="493"/>
      <c r="U72" s="67" t="str">
        <f>S72</f>
        <v>47 perangkat daerah</v>
      </c>
      <c r="V72" s="456"/>
      <c r="W72" s="61"/>
      <c r="X72" s="500"/>
      <c r="Y72" s="78"/>
    </row>
    <row r="73" spans="1:25" s="1" customFormat="1" ht="48" customHeight="1" x14ac:dyDescent="0.35">
      <c r="A73" s="68"/>
      <c r="B73" s="15"/>
      <c r="C73" s="259" t="s">
        <v>113</v>
      </c>
      <c r="D73" s="181" t="s">
        <v>197</v>
      </c>
      <c r="E73" s="176" t="s">
        <v>54</v>
      </c>
      <c r="F73" s="336">
        <v>210275000</v>
      </c>
      <c r="G73" s="333">
        <v>2</v>
      </c>
      <c r="H73" s="330">
        <v>123003167</v>
      </c>
      <c r="I73" s="142" t="str">
        <f t="shared" si="22"/>
        <v>12 dokumen</v>
      </c>
      <c r="J73" s="52">
        <v>26749378</v>
      </c>
      <c r="K73" s="61" t="s">
        <v>357</v>
      </c>
      <c r="L73" s="119">
        <v>3108500</v>
      </c>
      <c r="M73" s="61" t="s">
        <v>407</v>
      </c>
      <c r="N73" s="119">
        <v>3683500</v>
      </c>
      <c r="O73" s="119">
        <v>3</v>
      </c>
      <c r="P73" s="119">
        <v>10458000</v>
      </c>
      <c r="Q73" s="119">
        <v>3</v>
      </c>
      <c r="R73" s="119">
        <v>9390500</v>
      </c>
      <c r="S73" s="61">
        <v>2</v>
      </c>
      <c r="T73" s="121">
        <f>R73+P73+N73+L73</f>
        <v>26640500</v>
      </c>
      <c r="U73" s="62">
        <v>0.08</v>
      </c>
      <c r="V73" s="63" t="s">
        <v>398</v>
      </c>
      <c r="W73" s="61">
        <f>(2/12)*100</f>
        <v>16.666666666666664</v>
      </c>
      <c r="X73" s="64" t="e">
        <f>(V73/F73)*100</f>
        <v>#VALUE!</v>
      </c>
      <c r="Y73" s="78"/>
    </row>
    <row r="74" spans="1:25" s="1" customFormat="1" ht="25.5" customHeight="1" x14ac:dyDescent="0.35">
      <c r="A74" s="65"/>
      <c r="B74" s="10"/>
      <c r="C74" s="380"/>
      <c r="D74" s="74"/>
      <c r="E74" s="54"/>
      <c r="F74" s="326"/>
      <c r="G74" s="326"/>
      <c r="H74" s="326" t="s">
        <v>97</v>
      </c>
      <c r="I74" s="54"/>
      <c r="J74" s="54"/>
      <c r="K74" s="54"/>
      <c r="L74" s="54"/>
      <c r="M74" s="54"/>
      <c r="N74" s="54"/>
      <c r="O74" s="54"/>
      <c r="P74" s="54"/>
      <c r="Q74" s="54"/>
      <c r="R74" s="54"/>
      <c r="S74" s="54">
        <f t="shared" ref="S74" si="23">K74</f>
        <v>0</v>
      </c>
      <c r="T74" s="61">
        <f t="shared" ref="T74" si="24">L74</f>
        <v>0</v>
      </c>
      <c r="U74" s="62">
        <f t="shared" ref="U74" si="25">G74+S74*100%</f>
        <v>0</v>
      </c>
      <c r="V74" s="63" t="e">
        <f t="shared" ref="V74:V76" si="26">H74+T74</f>
        <v>#VALUE!</v>
      </c>
      <c r="W74" s="299" t="e">
        <f>(U74/E74)*100</f>
        <v>#DIV/0!</v>
      </c>
      <c r="X74" s="300" t="e">
        <f t="shared" ref="X74:X76" si="27">SUM(V74/F74)*100</f>
        <v>#VALUE!</v>
      </c>
      <c r="Y74" s="87"/>
    </row>
    <row r="75" spans="1:25" s="1" customFormat="1" ht="63.75" customHeight="1" x14ac:dyDescent="0.35">
      <c r="A75" s="91">
        <v>6</v>
      </c>
      <c r="B75" s="98"/>
      <c r="C75" s="381" t="s">
        <v>114</v>
      </c>
      <c r="D75" s="182" t="s">
        <v>199</v>
      </c>
      <c r="E75" s="183">
        <v>1</v>
      </c>
      <c r="F75" s="337">
        <v>5624262250</v>
      </c>
      <c r="G75" s="338"/>
      <c r="H75" s="339">
        <f>H76+H79+H81</f>
        <v>3928109267</v>
      </c>
      <c r="I75" s="140">
        <v>0.9</v>
      </c>
      <c r="J75" s="184">
        <f>J76+J79+J81</f>
        <v>566404357</v>
      </c>
      <c r="K75" s="140">
        <v>0.2</v>
      </c>
      <c r="L75" s="185">
        <f>L76+L79+L81</f>
        <v>87137516</v>
      </c>
      <c r="M75" s="140">
        <v>0.23699999999999999</v>
      </c>
      <c r="N75" s="185">
        <f>N76+N79+N81</f>
        <v>127659693</v>
      </c>
      <c r="O75" s="140">
        <v>0.23100000000000001</v>
      </c>
      <c r="P75" s="185">
        <f>P76+P79+P81</f>
        <v>130991323</v>
      </c>
      <c r="Q75" s="140">
        <v>0.38600000000000001</v>
      </c>
      <c r="R75" s="185">
        <f>R76+R79+R81</f>
        <v>218627247</v>
      </c>
      <c r="S75" s="140">
        <v>0.89</v>
      </c>
      <c r="T75" s="141">
        <f>R75+P75+N75+L75</f>
        <v>564415779</v>
      </c>
      <c r="U75" s="186"/>
      <c r="V75" s="133">
        <f t="shared" si="26"/>
        <v>4492525046</v>
      </c>
      <c r="W75" s="187"/>
      <c r="X75" s="188">
        <f t="shared" si="27"/>
        <v>79.877588318361219</v>
      </c>
      <c r="Y75" s="506" t="s">
        <v>372</v>
      </c>
    </row>
    <row r="76" spans="1:25" s="1" customFormat="1" ht="62.25" customHeight="1" x14ac:dyDescent="0.35">
      <c r="A76" s="68"/>
      <c r="B76" s="98"/>
      <c r="C76" s="378" t="s">
        <v>115</v>
      </c>
      <c r="D76" s="169" t="s">
        <v>200</v>
      </c>
      <c r="E76" s="168" t="s">
        <v>516</v>
      </c>
      <c r="F76" s="512">
        <v>4574850000</v>
      </c>
      <c r="G76" s="317" t="s">
        <v>350</v>
      </c>
      <c r="H76" s="548">
        <v>2801080841</v>
      </c>
      <c r="I76" s="142" t="s">
        <v>515</v>
      </c>
      <c r="J76" s="512">
        <v>447300207</v>
      </c>
      <c r="K76" s="61" t="s">
        <v>359</v>
      </c>
      <c r="L76" s="465">
        <v>74355340</v>
      </c>
      <c r="M76" s="61" t="s">
        <v>359</v>
      </c>
      <c r="N76" s="465">
        <v>111476590</v>
      </c>
      <c r="O76" s="189"/>
      <c r="P76" s="465">
        <v>111547760</v>
      </c>
      <c r="Q76" s="189"/>
      <c r="R76" s="465">
        <v>148844320</v>
      </c>
      <c r="S76" s="61" t="s">
        <v>513</v>
      </c>
      <c r="T76" s="492">
        <f>L76+N76+P76+R76</f>
        <v>446224010</v>
      </c>
      <c r="U76" s="190" t="s">
        <v>514</v>
      </c>
      <c r="V76" s="455">
        <f t="shared" si="26"/>
        <v>3247304851</v>
      </c>
      <c r="W76" s="191"/>
      <c r="X76" s="499">
        <f t="shared" si="27"/>
        <v>70.981668273276725</v>
      </c>
      <c r="Y76" s="507"/>
    </row>
    <row r="77" spans="1:25" s="1" customFormat="1" ht="47.25" customHeight="1" x14ac:dyDescent="0.35">
      <c r="A77" s="68"/>
      <c r="B77" s="98"/>
      <c r="C77" s="378"/>
      <c r="D77" s="192" t="s">
        <v>201</v>
      </c>
      <c r="E77" s="166" t="s">
        <v>39</v>
      </c>
      <c r="F77" s="513"/>
      <c r="G77" s="317" t="s">
        <v>41</v>
      </c>
      <c r="H77" s="576"/>
      <c r="I77" s="142" t="str">
        <f t="shared" ref="I77:I82" si="28">E77</f>
        <v>4 dokumen</v>
      </c>
      <c r="J77" s="513"/>
      <c r="K77" s="61"/>
      <c r="L77" s="466"/>
      <c r="M77" s="61"/>
      <c r="N77" s="466"/>
      <c r="O77" s="61"/>
      <c r="P77" s="466"/>
      <c r="Q77" s="193"/>
      <c r="R77" s="466"/>
      <c r="S77" s="61">
        <f>K77</f>
        <v>0</v>
      </c>
      <c r="T77" s="498"/>
      <c r="U77" s="190">
        <f t="shared" ref="U77:U81" si="29">S77</f>
        <v>0</v>
      </c>
      <c r="V77" s="491"/>
      <c r="W77" s="191">
        <f>(1/4)*100</f>
        <v>25</v>
      </c>
      <c r="X77" s="516"/>
      <c r="Y77" s="78"/>
    </row>
    <row r="78" spans="1:25" s="1" customFormat="1" ht="45" customHeight="1" x14ac:dyDescent="0.35">
      <c r="A78" s="68"/>
      <c r="B78" s="98"/>
      <c r="C78" s="378"/>
      <c r="D78" s="194" t="s">
        <v>202</v>
      </c>
      <c r="E78" s="166" t="s">
        <v>207</v>
      </c>
      <c r="F78" s="514"/>
      <c r="G78" s="317" t="s">
        <v>51</v>
      </c>
      <c r="H78" s="549"/>
      <c r="I78" s="142" t="str">
        <f t="shared" si="28"/>
        <v>103 dokumen</v>
      </c>
      <c r="J78" s="514"/>
      <c r="K78" s="61"/>
      <c r="L78" s="467"/>
      <c r="M78" s="61"/>
      <c r="N78" s="467"/>
      <c r="O78" s="61"/>
      <c r="P78" s="467"/>
      <c r="Q78" s="195"/>
      <c r="R78" s="467"/>
      <c r="S78" s="61">
        <f>K78</f>
        <v>0</v>
      </c>
      <c r="T78" s="493"/>
      <c r="U78" s="190">
        <f t="shared" si="29"/>
        <v>0</v>
      </c>
      <c r="V78" s="456"/>
      <c r="W78" s="191">
        <f>(7/103)*100</f>
        <v>6.7961165048543686</v>
      </c>
      <c r="X78" s="500"/>
      <c r="Y78" s="78"/>
    </row>
    <row r="79" spans="1:25" s="1" customFormat="1" ht="75" customHeight="1" x14ac:dyDescent="0.35">
      <c r="A79" s="68"/>
      <c r="B79" s="98"/>
      <c r="C79" s="378" t="s">
        <v>116</v>
      </c>
      <c r="D79" s="165" t="s">
        <v>203</v>
      </c>
      <c r="E79" s="166" t="s">
        <v>208</v>
      </c>
      <c r="F79" s="512">
        <v>524043000</v>
      </c>
      <c r="G79" s="317" t="s">
        <v>300</v>
      </c>
      <c r="H79" s="548">
        <v>345929541</v>
      </c>
      <c r="I79" s="142" t="str">
        <f t="shared" si="28"/>
        <v>103 skm</v>
      </c>
      <c r="J79" s="512">
        <v>82121600</v>
      </c>
      <c r="K79" s="61">
        <v>20</v>
      </c>
      <c r="L79" s="465">
        <v>8588143</v>
      </c>
      <c r="M79" s="61">
        <v>30</v>
      </c>
      <c r="N79" s="465">
        <v>5601210</v>
      </c>
      <c r="O79" s="189"/>
      <c r="P79" s="465">
        <v>11214530</v>
      </c>
      <c r="Q79" s="189"/>
      <c r="R79" s="465">
        <v>56169554</v>
      </c>
      <c r="S79" s="61" t="s">
        <v>300</v>
      </c>
      <c r="T79" s="492">
        <f>L79+N79+P79+R79</f>
        <v>81573437</v>
      </c>
      <c r="U79" s="190" t="str">
        <f t="shared" si="29"/>
        <v>24 skm</v>
      </c>
      <c r="V79" s="510">
        <f>H79+T79</f>
        <v>427502978</v>
      </c>
      <c r="W79" s="191">
        <f>(20/103)*100</f>
        <v>19.417475728155338</v>
      </c>
      <c r="X79" s="499">
        <f>(V79/F79)*100</f>
        <v>81.577843421245973</v>
      </c>
      <c r="Y79" s="53"/>
    </row>
    <row r="80" spans="1:25" s="1" customFormat="1" ht="59.25" customHeight="1" x14ac:dyDescent="0.35">
      <c r="A80" s="68"/>
      <c r="B80" s="98"/>
      <c r="C80" s="378"/>
      <c r="D80" s="165" t="s">
        <v>204</v>
      </c>
      <c r="E80" s="166" t="s">
        <v>209</v>
      </c>
      <c r="F80" s="514"/>
      <c r="G80" s="317" t="s">
        <v>286</v>
      </c>
      <c r="H80" s="549"/>
      <c r="I80" s="142" t="str">
        <f t="shared" si="28"/>
        <v>150 dok</v>
      </c>
      <c r="J80" s="514"/>
      <c r="K80" s="61">
        <v>30</v>
      </c>
      <c r="L80" s="467"/>
      <c r="M80" s="61">
        <v>25</v>
      </c>
      <c r="N80" s="467"/>
      <c r="O80" s="195"/>
      <c r="P80" s="467"/>
      <c r="Q80" s="195"/>
      <c r="R80" s="467"/>
      <c r="S80" s="61">
        <f t="shared" ref="S80:S82" si="30">K80</f>
        <v>30</v>
      </c>
      <c r="T80" s="493"/>
      <c r="U80" s="190">
        <f t="shared" si="29"/>
        <v>30</v>
      </c>
      <c r="V80" s="511"/>
      <c r="W80" s="191">
        <f>(15/150)*100</f>
        <v>10</v>
      </c>
      <c r="X80" s="500"/>
      <c r="Y80" s="53"/>
    </row>
    <row r="81" spans="1:25" s="1" customFormat="1" ht="57.75" customHeight="1" x14ac:dyDescent="0.35">
      <c r="A81" s="68"/>
      <c r="B81" s="98"/>
      <c r="C81" s="378" t="s">
        <v>117</v>
      </c>
      <c r="D81" s="196" t="s">
        <v>205</v>
      </c>
      <c r="E81" s="166" t="s">
        <v>210</v>
      </c>
      <c r="F81" s="512">
        <v>525369250</v>
      </c>
      <c r="G81" s="317" t="s">
        <v>287</v>
      </c>
      <c r="H81" s="548">
        <v>781098885</v>
      </c>
      <c r="I81" s="142" t="str">
        <f t="shared" si="28"/>
        <v>15 orang</v>
      </c>
      <c r="J81" s="512">
        <v>36982550</v>
      </c>
      <c r="K81" s="61">
        <v>4</v>
      </c>
      <c r="L81" s="465">
        <v>4194033</v>
      </c>
      <c r="M81" s="61">
        <v>4</v>
      </c>
      <c r="N81" s="465">
        <v>10581893</v>
      </c>
      <c r="O81" s="189"/>
      <c r="P81" s="465">
        <v>8229033</v>
      </c>
      <c r="Q81" s="189"/>
      <c r="R81" s="465">
        <v>13613373</v>
      </c>
      <c r="S81" s="61">
        <f t="shared" si="30"/>
        <v>4</v>
      </c>
      <c r="T81" s="492">
        <f>L81+N81+P81+R81</f>
        <v>36618332</v>
      </c>
      <c r="U81" s="190">
        <f t="shared" si="29"/>
        <v>4</v>
      </c>
      <c r="V81" s="455">
        <f>H81+T81</f>
        <v>817717217</v>
      </c>
      <c r="W81" s="191">
        <f>(10/15)*100</f>
        <v>66.666666666666657</v>
      </c>
      <c r="X81" s="499">
        <f>(V81/F81)*100</f>
        <v>155.6461892278621</v>
      </c>
      <c r="Y81" s="53"/>
    </row>
    <row r="82" spans="1:25" s="1" customFormat="1" ht="56.25" customHeight="1" x14ac:dyDescent="0.35">
      <c r="A82" s="68"/>
      <c r="B82" s="97"/>
      <c r="C82" s="71"/>
      <c r="D82" s="197" t="s">
        <v>206</v>
      </c>
      <c r="E82" s="198">
        <v>1</v>
      </c>
      <c r="F82" s="514"/>
      <c r="G82" s="340">
        <v>0.67</v>
      </c>
      <c r="H82" s="549"/>
      <c r="I82" s="142">
        <f t="shared" si="28"/>
        <v>1</v>
      </c>
      <c r="J82" s="514"/>
      <c r="K82" s="62">
        <v>0.25</v>
      </c>
      <c r="L82" s="467"/>
      <c r="M82" s="62">
        <v>0.25</v>
      </c>
      <c r="N82" s="467"/>
      <c r="O82" s="195"/>
      <c r="P82" s="467"/>
      <c r="Q82" s="195"/>
      <c r="R82" s="467"/>
      <c r="S82" s="62">
        <f t="shared" si="30"/>
        <v>0.25</v>
      </c>
      <c r="T82" s="493"/>
      <c r="U82" s="199">
        <v>0.67</v>
      </c>
      <c r="V82" s="456"/>
      <c r="W82" s="191">
        <f>(U82/E82)*100</f>
        <v>67</v>
      </c>
      <c r="X82" s="500"/>
      <c r="Y82" s="53"/>
    </row>
    <row r="83" spans="1:25" s="1" customFormat="1" ht="8.25" customHeight="1" x14ac:dyDescent="0.35">
      <c r="A83" s="65"/>
      <c r="B83" s="93"/>
      <c r="C83" s="69"/>
      <c r="D83" s="73"/>
      <c r="E83" s="54"/>
      <c r="F83" s="326"/>
      <c r="G83" s="326"/>
      <c r="H83" s="326"/>
      <c r="I83" s="54"/>
      <c r="J83" s="54"/>
      <c r="K83" s="54"/>
      <c r="L83" s="54"/>
      <c r="M83" s="54"/>
      <c r="N83" s="54"/>
      <c r="O83" s="54"/>
      <c r="P83" s="54"/>
      <c r="Q83" s="54"/>
      <c r="R83" s="54"/>
      <c r="S83" s="54">
        <f t="shared" ref="S83" si="31">K83</f>
        <v>0</v>
      </c>
      <c r="T83" s="54">
        <f t="shared" ref="T83" si="32">L83</f>
        <v>0</v>
      </c>
      <c r="U83" s="55">
        <f>G83+S83*100%</f>
        <v>0</v>
      </c>
      <c r="V83" s="56">
        <f t="shared" ref="V83" si="33">H83+T83</f>
        <v>0</v>
      </c>
      <c r="W83" s="54" t="e">
        <f>(U83/E83)*100</f>
        <v>#DIV/0!</v>
      </c>
      <c r="X83" s="66" t="e">
        <f>SUM(V83/F83)*100</f>
        <v>#DIV/0!</v>
      </c>
      <c r="Y83" s="65"/>
    </row>
    <row r="84" spans="1:25" s="1" customFormat="1" ht="112.5" customHeight="1" x14ac:dyDescent="0.35">
      <c r="A84" s="91">
        <v>7</v>
      </c>
      <c r="B84" s="200" t="s">
        <v>324</v>
      </c>
      <c r="C84" s="139" t="s">
        <v>118</v>
      </c>
      <c r="D84" s="409" t="s">
        <v>96</v>
      </c>
      <c r="E84" s="410">
        <v>90</v>
      </c>
      <c r="F84" s="341">
        <f>F85+F90+F91</f>
        <v>94414209925</v>
      </c>
      <c r="G84" s="342">
        <v>0.92169999999999996</v>
      </c>
      <c r="H84" s="343">
        <f>H85+H90+H91</f>
        <v>37400456839</v>
      </c>
      <c r="I84" s="146">
        <v>90</v>
      </c>
      <c r="J84" s="203">
        <f>J85+J90+J91</f>
        <v>18031399100</v>
      </c>
      <c r="K84" s="105" t="s">
        <v>362</v>
      </c>
      <c r="L84" s="416">
        <f>L85+L90+L91</f>
        <v>5060378190</v>
      </c>
      <c r="M84" s="105">
        <v>98.93</v>
      </c>
      <c r="N84" s="416">
        <f>N85+N90+N91</f>
        <v>5476147885</v>
      </c>
      <c r="O84" s="105"/>
      <c r="P84" s="106">
        <f>P85+P90+P91</f>
        <v>3755867085</v>
      </c>
      <c r="Q84" s="105"/>
      <c r="R84" s="106">
        <f>R85+R90+R91</f>
        <v>2624541609</v>
      </c>
      <c r="S84" s="302" t="s">
        <v>311</v>
      </c>
      <c r="T84" s="141">
        <f>R84+P84+N84+L84</f>
        <v>16916934769</v>
      </c>
      <c r="U84" s="105" t="str">
        <f t="shared" ref="U84:U96" si="34">S84</f>
        <v>99.17%</v>
      </c>
      <c r="V84" s="133">
        <f t="shared" ref="V84:V96" si="35">H84+T84</f>
        <v>54317391608</v>
      </c>
      <c r="W84" s="133" t="e">
        <f>(U84/E84)*100</f>
        <v>#VALUE!</v>
      </c>
      <c r="X84" s="188">
        <f t="shared" ref="X84:X96" si="36">(V84/F84)*100</f>
        <v>57.530949685590983</v>
      </c>
      <c r="Y84" s="264" t="s">
        <v>8</v>
      </c>
    </row>
    <row r="85" spans="1:25" s="1" customFormat="1" ht="58.5" customHeight="1" x14ac:dyDescent="0.35">
      <c r="A85" s="91"/>
      <c r="B85" s="200"/>
      <c r="C85" s="76" t="s">
        <v>119</v>
      </c>
      <c r="D85" s="411" t="s">
        <v>32</v>
      </c>
      <c r="E85" s="412" t="s">
        <v>58</v>
      </c>
      <c r="F85" s="485">
        <v>1104300000</v>
      </c>
      <c r="G85" s="345" t="s">
        <v>58</v>
      </c>
      <c r="H85" s="485">
        <v>1745537072</v>
      </c>
      <c r="I85" s="142" t="str">
        <f>E85</f>
        <v>2 kelompok</v>
      </c>
      <c r="J85" s="455">
        <v>433775000</v>
      </c>
      <c r="K85" s="142" t="s">
        <v>58</v>
      </c>
      <c r="L85" s="488">
        <v>40000000</v>
      </c>
      <c r="M85" s="142" t="s">
        <v>58</v>
      </c>
      <c r="N85" s="488">
        <v>139240000</v>
      </c>
      <c r="O85" s="142" t="s">
        <v>58</v>
      </c>
      <c r="P85" s="488">
        <v>68940000</v>
      </c>
      <c r="Q85" s="142" t="s">
        <v>58</v>
      </c>
      <c r="R85" s="488">
        <v>157660000</v>
      </c>
      <c r="S85" s="67" t="str">
        <f>K85</f>
        <v>2 kelompok</v>
      </c>
      <c r="T85" s="488">
        <f>L85+N85+P85+R85</f>
        <v>405840000</v>
      </c>
      <c r="U85" s="67" t="s">
        <v>377</v>
      </c>
      <c r="V85" s="455">
        <f>H85+T85</f>
        <v>2151377072</v>
      </c>
      <c r="W85" s="63">
        <f>(2/2)*100</f>
        <v>100</v>
      </c>
      <c r="X85" s="64">
        <f>(V85/F85)*100</f>
        <v>194.81817187358507</v>
      </c>
      <c r="Y85" s="58"/>
    </row>
    <row r="86" spans="1:25" s="1" customFormat="1" ht="58.5" customHeight="1" x14ac:dyDescent="0.35">
      <c r="A86" s="91"/>
      <c r="B86" s="200"/>
      <c r="C86" s="139"/>
      <c r="D86" s="411" t="s">
        <v>408</v>
      </c>
      <c r="E86" s="232" t="s">
        <v>412</v>
      </c>
      <c r="F86" s="486"/>
      <c r="G86" s="232" t="s">
        <v>412</v>
      </c>
      <c r="H86" s="486"/>
      <c r="I86" s="232" t="s">
        <v>412</v>
      </c>
      <c r="J86" s="491"/>
      <c r="K86" s="232" t="s">
        <v>414</v>
      </c>
      <c r="L86" s="489"/>
      <c r="M86" s="232" t="s">
        <v>414</v>
      </c>
      <c r="N86" s="489"/>
      <c r="O86" s="232" t="s">
        <v>414</v>
      </c>
      <c r="P86" s="489"/>
      <c r="Q86" s="232" t="s">
        <v>414</v>
      </c>
      <c r="R86" s="489"/>
      <c r="S86" s="164" t="s">
        <v>503</v>
      </c>
      <c r="T86" s="489"/>
      <c r="U86" s="164" t="s">
        <v>517</v>
      </c>
      <c r="V86" s="491"/>
      <c r="W86" s="133"/>
      <c r="X86" s="188"/>
      <c r="Y86" s="264"/>
    </row>
    <row r="87" spans="1:25" s="1" customFormat="1" ht="54" customHeight="1" x14ac:dyDescent="0.35">
      <c r="A87" s="91"/>
      <c r="B87" s="200"/>
      <c r="C87" s="139"/>
      <c r="D87" s="165" t="s">
        <v>409</v>
      </c>
      <c r="E87" s="232" t="s">
        <v>412</v>
      </c>
      <c r="F87" s="486"/>
      <c r="G87" s="232" t="s">
        <v>412</v>
      </c>
      <c r="H87" s="486"/>
      <c r="I87" s="232" t="s">
        <v>412</v>
      </c>
      <c r="J87" s="491"/>
      <c r="K87" s="232" t="s">
        <v>414</v>
      </c>
      <c r="L87" s="489"/>
      <c r="M87" s="232" t="s">
        <v>414</v>
      </c>
      <c r="N87" s="489"/>
      <c r="O87" s="232" t="s">
        <v>548</v>
      </c>
      <c r="P87" s="489"/>
      <c r="Q87" s="232" t="s">
        <v>548</v>
      </c>
      <c r="R87" s="489"/>
      <c r="S87" s="164" t="s">
        <v>503</v>
      </c>
      <c r="T87" s="489"/>
      <c r="U87" s="164" t="s">
        <v>517</v>
      </c>
      <c r="V87" s="491"/>
      <c r="W87" s="133"/>
      <c r="X87" s="188"/>
      <c r="Y87" s="264"/>
    </row>
    <row r="88" spans="1:25" s="1" customFormat="1" ht="56.25" customHeight="1" x14ac:dyDescent="0.35">
      <c r="A88" s="91"/>
      <c r="B88" s="200"/>
      <c r="C88" s="235"/>
      <c r="D88" s="165" t="s">
        <v>410</v>
      </c>
      <c r="E88" s="232" t="s">
        <v>413</v>
      </c>
      <c r="F88" s="486"/>
      <c r="G88" s="232" t="s">
        <v>413</v>
      </c>
      <c r="H88" s="486"/>
      <c r="I88" s="232" t="s">
        <v>413</v>
      </c>
      <c r="J88" s="491"/>
      <c r="K88" s="232" t="s">
        <v>414</v>
      </c>
      <c r="L88" s="489"/>
      <c r="M88" s="232" t="s">
        <v>414</v>
      </c>
      <c r="N88" s="489"/>
      <c r="O88" s="232" t="s">
        <v>414</v>
      </c>
      <c r="P88" s="489"/>
      <c r="Q88" s="232" t="s">
        <v>414</v>
      </c>
      <c r="R88" s="489"/>
      <c r="S88" s="164" t="s">
        <v>503</v>
      </c>
      <c r="T88" s="489"/>
      <c r="U88" s="451" t="s">
        <v>518</v>
      </c>
      <c r="V88" s="491"/>
      <c r="W88" s="407"/>
      <c r="X88" s="413"/>
      <c r="Y88" s="100"/>
    </row>
    <row r="89" spans="1:25" s="1" customFormat="1" ht="59.25" customHeight="1" x14ac:dyDescent="0.3">
      <c r="A89" s="68"/>
      <c r="B89" s="75"/>
      <c r="C89" s="2"/>
      <c r="D89" s="165" t="s">
        <v>411</v>
      </c>
      <c r="E89" s="232" t="s">
        <v>412</v>
      </c>
      <c r="F89" s="487"/>
      <c r="G89" s="232" t="s">
        <v>412</v>
      </c>
      <c r="H89" s="487"/>
      <c r="I89" s="232" t="s">
        <v>412</v>
      </c>
      <c r="J89" s="456"/>
      <c r="K89" s="232" t="s">
        <v>414</v>
      </c>
      <c r="L89" s="490"/>
      <c r="M89" s="232" t="s">
        <v>414</v>
      </c>
      <c r="N89" s="490"/>
      <c r="O89" s="232" t="s">
        <v>414</v>
      </c>
      <c r="P89" s="490"/>
      <c r="Q89" s="232" t="s">
        <v>414</v>
      </c>
      <c r="R89" s="490"/>
      <c r="S89" s="2" t="s">
        <v>503</v>
      </c>
      <c r="T89" s="490"/>
      <c r="U89" s="2" t="s">
        <v>517</v>
      </c>
      <c r="V89" s="456"/>
      <c r="W89" s="2"/>
      <c r="X89" s="2"/>
      <c r="Y89" s="2"/>
    </row>
    <row r="90" spans="1:25" s="1" customFormat="1" ht="59.25" customHeight="1" x14ac:dyDescent="0.3">
      <c r="A90" s="68"/>
      <c r="B90" s="75"/>
      <c r="C90" s="227" t="s">
        <v>326</v>
      </c>
      <c r="D90" s="192" t="s">
        <v>327</v>
      </c>
      <c r="E90" s="288" t="s">
        <v>328</v>
      </c>
      <c r="F90" s="406">
        <v>92394550000</v>
      </c>
      <c r="G90" s="408" t="s">
        <v>396</v>
      </c>
      <c r="H90" s="406">
        <v>35087990375</v>
      </c>
      <c r="I90" s="408" t="s">
        <v>396</v>
      </c>
      <c r="J90" s="118">
        <v>17493468000</v>
      </c>
      <c r="K90" s="248" t="s">
        <v>395</v>
      </c>
      <c r="L90" s="117">
        <v>4978689190</v>
      </c>
      <c r="M90" s="78" t="s">
        <v>438</v>
      </c>
      <c r="N90" s="117">
        <v>5311120885</v>
      </c>
      <c r="O90" s="78" t="s">
        <v>545</v>
      </c>
      <c r="P90" s="117">
        <v>3668351085</v>
      </c>
      <c r="Q90" s="117" t="s">
        <v>545</v>
      </c>
      <c r="R90" s="117">
        <v>2437930609</v>
      </c>
      <c r="S90" s="78" t="s">
        <v>519</v>
      </c>
      <c r="T90" s="297">
        <f>L90+N90+P90+R90</f>
        <v>16396091769</v>
      </c>
      <c r="U90" s="114" t="s">
        <v>520</v>
      </c>
      <c r="V90" s="118">
        <f>H90+T90</f>
        <v>51484082144</v>
      </c>
      <c r="W90" s="400"/>
      <c r="X90" s="307"/>
      <c r="Y90" s="58"/>
    </row>
    <row r="91" spans="1:25" s="1" customFormat="1" ht="59.25" customHeight="1" x14ac:dyDescent="0.3">
      <c r="A91" s="68"/>
      <c r="B91" s="75"/>
      <c r="C91" s="227" t="s">
        <v>160</v>
      </c>
      <c r="D91" s="414" t="s">
        <v>95</v>
      </c>
      <c r="E91" s="415" t="s">
        <v>267</v>
      </c>
      <c r="F91" s="485">
        <v>915359925</v>
      </c>
      <c r="G91" s="359" t="s">
        <v>521</v>
      </c>
      <c r="H91" s="485">
        <v>566929392</v>
      </c>
      <c r="I91" s="453">
        <v>2200</v>
      </c>
      <c r="J91" s="455">
        <v>104156100</v>
      </c>
      <c r="K91" s="87" t="s">
        <v>360</v>
      </c>
      <c r="L91" s="488">
        <v>41689000</v>
      </c>
      <c r="M91" s="87" t="s">
        <v>415</v>
      </c>
      <c r="N91" s="488">
        <v>25787000</v>
      </c>
      <c r="O91" s="87" t="s">
        <v>546</v>
      </c>
      <c r="P91" s="488">
        <v>18576000</v>
      </c>
      <c r="Q91" s="115" t="s">
        <v>573</v>
      </c>
      <c r="R91" s="488">
        <v>28951000</v>
      </c>
      <c r="S91" s="87" t="s">
        <v>574</v>
      </c>
      <c r="T91" s="492">
        <f>L91+N91+P91+R91</f>
        <v>115003000</v>
      </c>
      <c r="U91" s="87" t="s">
        <v>522</v>
      </c>
      <c r="V91" s="455">
        <f>H91+T91</f>
        <v>681932392</v>
      </c>
      <c r="W91" s="114">
        <f>(325/5700)*100</f>
        <v>5.7017543859649118</v>
      </c>
      <c r="X91" s="499">
        <f>(V91/F91)*100</f>
        <v>74.498825366426217</v>
      </c>
      <c r="Y91" s="58"/>
    </row>
    <row r="92" spans="1:25" s="1" customFormat="1" ht="59.25" customHeight="1" x14ac:dyDescent="0.3">
      <c r="A92" s="68"/>
      <c r="B92" s="75"/>
      <c r="C92" s="238"/>
      <c r="D92" s="175" t="s">
        <v>264</v>
      </c>
      <c r="E92" s="284" t="s">
        <v>268</v>
      </c>
      <c r="F92" s="487"/>
      <c r="G92" s="358" t="s">
        <v>521</v>
      </c>
      <c r="H92" s="487"/>
      <c r="I92" s="67" t="str">
        <f>E92</f>
        <v>1300 Dokumen</v>
      </c>
      <c r="J92" s="456"/>
      <c r="K92" s="247" t="s">
        <v>361</v>
      </c>
      <c r="L92" s="490"/>
      <c r="M92" s="87" t="s">
        <v>415</v>
      </c>
      <c r="N92" s="490"/>
      <c r="O92" s="87" t="s">
        <v>546</v>
      </c>
      <c r="P92" s="490"/>
      <c r="Q92" s="120" t="s">
        <v>573</v>
      </c>
      <c r="R92" s="490"/>
      <c r="S92" s="87" t="s">
        <v>574</v>
      </c>
      <c r="T92" s="493"/>
      <c r="U92" s="247" t="s">
        <v>522</v>
      </c>
      <c r="V92" s="456"/>
      <c r="W92" s="114">
        <f>(241/1300)*100</f>
        <v>18.53846153846154</v>
      </c>
      <c r="X92" s="500"/>
      <c r="Y92" s="58"/>
    </row>
    <row r="93" spans="1:25" s="1" customFormat="1" ht="60" customHeight="1" x14ac:dyDescent="0.3">
      <c r="A93" s="68"/>
      <c r="B93" s="75"/>
      <c r="C93" s="292" t="s">
        <v>120</v>
      </c>
      <c r="D93" s="201" t="s">
        <v>9</v>
      </c>
      <c r="E93" s="205">
        <v>1</v>
      </c>
      <c r="F93" s="341">
        <f>F94</f>
        <v>1638000000</v>
      </c>
      <c r="G93" s="319">
        <v>0</v>
      </c>
      <c r="H93" s="343">
        <f>H94</f>
        <v>1680026450</v>
      </c>
      <c r="I93" s="140">
        <f t="shared" ref="I93:Q129" si="37">E93</f>
        <v>1</v>
      </c>
      <c r="J93" s="203">
        <f>J94</f>
        <v>612077000</v>
      </c>
      <c r="K93" s="134">
        <v>1</v>
      </c>
      <c r="L93" s="106">
        <f>L94</f>
        <v>53772500</v>
      </c>
      <c r="M93" s="134">
        <v>1</v>
      </c>
      <c r="N93" s="106">
        <f>N94</f>
        <v>74315000</v>
      </c>
      <c r="O93" s="134"/>
      <c r="P93" s="106">
        <f>P94</f>
        <v>171173500</v>
      </c>
      <c r="Q93" s="134"/>
      <c r="R93" s="106">
        <f>R94</f>
        <v>290012500</v>
      </c>
      <c r="S93" s="104" t="s">
        <v>312</v>
      </c>
      <c r="T93" s="141">
        <f>T94</f>
        <v>589273500</v>
      </c>
      <c r="U93" s="134" t="str">
        <f t="shared" si="34"/>
        <v>87.01%</v>
      </c>
      <c r="V93" s="133">
        <f t="shared" si="35"/>
        <v>2269299950</v>
      </c>
      <c r="W93" s="133">
        <v>0</v>
      </c>
      <c r="X93" s="188">
        <f t="shared" si="36"/>
        <v>138.5409004884005</v>
      </c>
      <c r="Y93" s="86"/>
    </row>
    <row r="94" spans="1:25" s="1" customFormat="1" ht="60" customHeight="1" x14ac:dyDescent="0.3">
      <c r="A94" s="68"/>
      <c r="B94" s="75"/>
      <c r="C94" s="76" t="s">
        <v>121</v>
      </c>
      <c r="D94" s="206" t="s">
        <v>211</v>
      </c>
      <c r="E94" s="207" t="s">
        <v>235</v>
      </c>
      <c r="F94" s="344">
        <v>1638000000</v>
      </c>
      <c r="G94" s="317" t="s">
        <v>305</v>
      </c>
      <c r="H94" s="346">
        <v>1680026450</v>
      </c>
      <c r="I94" s="142" t="str">
        <f>E94</f>
        <v>19 Orang</v>
      </c>
      <c r="J94" s="208">
        <v>612077000</v>
      </c>
      <c r="K94" s="61" t="s">
        <v>363</v>
      </c>
      <c r="L94" s="119">
        <v>53772500</v>
      </c>
      <c r="M94" s="61" t="s">
        <v>417</v>
      </c>
      <c r="N94" s="119">
        <v>74315000</v>
      </c>
      <c r="O94" s="61" t="s">
        <v>549</v>
      </c>
      <c r="P94" s="119">
        <v>171173500</v>
      </c>
      <c r="Q94" s="61" t="s">
        <v>549</v>
      </c>
      <c r="R94" s="119">
        <v>290012500</v>
      </c>
      <c r="S94" s="61" t="s">
        <v>523</v>
      </c>
      <c r="T94" s="121">
        <f>L94+N94+P94+R94</f>
        <v>589273500</v>
      </c>
      <c r="U94" s="62" t="s">
        <v>524</v>
      </c>
      <c r="V94" s="63">
        <f t="shared" si="35"/>
        <v>2269299950</v>
      </c>
      <c r="W94" s="63">
        <f>(1/19)*100</f>
        <v>5.2631578947368416</v>
      </c>
      <c r="X94" s="64">
        <f t="shared" si="36"/>
        <v>138.5409004884005</v>
      </c>
      <c r="Y94" s="58"/>
    </row>
    <row r="95" spans="1:25" s="1" customFormat="1" ht="113.25" customHeight="1" x14ac:dyDescent="0.3">
      <c r="A95" s="68"/>
      <c r="B95" s="75"/>
      <c r="C95" s="139" t="s">
        <v>122</v>
      </c>
      <c r="D95" s="201" t="s">
        <v>96</v>
      </c>
      <c r="E95" s="202">
        <v>90</v>
      </c>
      <c r="F95" s="341">
        <f>F96+F98+F99+F100+F101+F102+F104</f>
        <v>23524224155</v>
      </c>
      <c r="G95" s="319" t="s">
        <v>351</v>
      </c>
      <c r="H95" s="343">
        <f>H96+H98+H99+H96+H100+H101+H102+H104</f>
        <v>35045099185</v>
      </c>
      <c r="I95" s="146">
        <f t="shared" si="37"/>
        <v>90</v>
      </c>
      <c r="J95" s="203">
        <f>J96+J98+J99+J100+J101+J102+J104</f>
        <v>6107479700</v>
      </c>
      <c r="K95" s="110">
        <v>0.94189999999999996</v>
      </c>
      <c r="L95" s="106">
        <f>L96+L98+L99+L100+L101+L102+L104</f>
        <v>1080829030</v>
      </c>
      <c r="M95" s="134">
        <v>0.98</v>
      </c>
      <c r="N95" s="106">
        <f>N96+N98+N99+N100+N101+N102+N104</f>
        <v>1380234036</v>
      </c>
      <c r="O95" s="105"/>
      <c r="P95" s="106">
        <f>P96+P98+P99+P100+P101+P102+P104</f>
        <v>1185293960</v>
      </c>
      <c r="Q95" s="105"/>
      <c r="R95" s="106">
        <f>R96+R98+R99+R100+R101+R102+R104</f>
        <v>2363241523</v>
      </c>
      <c r="S95" s="105" t="s">
        <v>313</v>
      </c>
      <c r="T95" s="141">
        <f>L95+N95+P95+R95</f>
        <v>6009598549</v>
      </c>
      <c r="U95" s="105" t="str">
        <f t="shared" si="34"/>
        <v>95.93 %</v>
      </c>
      <c r="V95" s="133">
        <f t="shared" si="35"/>
        <v>41054697734</v>
      </c>
      <c r="W95" s="133" t="e">
        <f>(U95/E95)*100</f>
        <v>#VALUE!</v>
      </c>
      <c r="X95" s="188">
        <f t="shared" si="36"/>
        <v>174.52094259726715</v>
      </c>
      <c r="Y95" s="86"/>
    </row>
    <row r="96" spans="1:25" s="1" customFormat="1" ht="86.25" customHeight="1" x14ac:dyDescent="0.3">
      <c r="A96" s="68"/>
      <c r="B96" s="75"/>
      <c r="C96" s="76" t="s">
        <v>123</v>
      </c>
      <c r="D96" s="206" t="s">
        <v>212</v>
      </c>
      <c r="E96" s="207" t="s">
        <v>237</v>
      </c>
      <c r="F96" s="485">
        <v>459000000</v>
      </c>
      <c r="G96" s="311" t="s">
        <v>288</v>
      </c>
      <c r="H96" s="485">
        <v>285051450</v>
      </c>
      <c r="I96" s="142"/>
      <c r="J96" s="574"/>
      <c r="K96" s="87"/>
      <c r="L96" s="488"/>
      <c r="M96" s="142"/>
      <c r="N96" s="488"/>
      <c r="O96" s="119"/>
      <c r="P96" s="488"/>
      <c r="Q96" s="142"/>
      <c r="R96" s="488"/>
      <c r="S96" s="87">
        <f>K96</f>
        <v>0</v>
      </c>
      <c r="T96" s="492">
        <f>L96+N96+P96+R96</f>
        <v>0</v>
      </c>
      <c r="U96" s="67">
        <f t="shared" si="34"/>
        <v>0</v>
      </c>
      <c r="V96" s="455">
        <f t="shared" si="35"/>
        <v>285051450</v>
      </c>
      <c r="W96" s="63">
        <f>(4/7)*100</f>
        <v>57.142857142857139</v>
      </c>
      <c r="X96" s="499">
        <f t="shared" si="36"/>
        <v>62.102712418300655</v>
      </c>
      <c r="Y96" s="58"/>
    </row>
    <row r="97" spans="1:25" s="1" customFormat="1" ht="87.75" customHeight="1" x14ac:dyDescent="0.3">
      <c r="A97" s="68"/>
      <c r="B97" s="75"/>
      <c r="C97" s="76"/>
      <c r="D97" s="206" t="s">
        <v>213</v>
      </c>
      <c r="E97" s="207" t="s">
        <v>238</v>
      </c>
      <c r="F97" s="487"/>
      <c r="G97" s="347">
        <v>0</v>
      </c>
      <c r="H97" s="487"/>
      <c r="I97" s="142"/>
      <c r="J97" s="575"/>
      <c r="K97" s="207"/>
      <c r="L97" s="490"/>
      <c r="M97" s="142"/>
      <c r="N97" s="490"/>
      <c r="O97" s="209"/>
      <c r="P97" s="490"/>
      <c r="Q97" s="142"/>
      <c r="R97" s="490"/>
      <c r="S97" s="61">
        <v>0</v>
      </c>
      <c r="T97" s="493"/>
      <c r="U97" s="61">
        <v>0</v>
      </c>
      <c r="V97" s="456"/>
      <c r="W97" s="61">
        <v>0</v>
      </c>
      <c r="X97" s="500"/>
      <c r="Y97" s="58"/>
    </row>
    <row r="98" spans="1:25" s="1" customFormat="1" ht="65.25" customHeight="1" x14ac:dyDescent="0.3">
      <c r="A98" s="68"/>
      <c r="B98" s="75"/>
      <c r="C98" s="76" t="s">
        <v>124</v>
      </c>
      <c r="D98" s="206" t="s">
        <v>214</v>
      </c>
      <c r="E98" s="207" t="s">
        <v>239</v>
      </c>
      <c r="F98" s="344">
        <v>7243200000</v>
      </c>
      <c r="G98" s="317" t="s">
        <v>239</v>
      </c>
      <c r="H98" s="346">
        <v>3579448520</v>
      </c>
      <c r="I98" s="142" t="s">
        <v>49</v>
      </c>
      <c r="J98" s="208">
        <v>1138015200</v>
      </c>
      <c r="K98" s="61" t="s">
        <v>242</v>
      </c>
      <c r="L98" s="119">
        <v>79922200</v>
      </c>
      <c r="M98" s="61" t="str">
        <f>K98</f>
        <v>1 Paket</v>
      </c>
      <c r="N98" s="119">
        <v>829204500</v>
      </c>
      <c r="O98" s="61"/>
      <c r="P98" s="452"/>
      <c r="Q98" s="61" t="s">
        <v>528</v>
      </c>
      <c r="R98" s="119">
        <v>229327500</v>
      </c>
      <c r="S98" s="61" t="s">
        <v>525</v>
      </c>
      <c r="T98" s="121">
        <f>L98+N98+P98+R98</f>
        <v>1138454200</v>
      </c>
      <c r="U98" s="62" t="s">
        <v>526</v>
      </c>
      <c r="V98" s="63">
        <f>H98+T98</f>
        <v>4717902720</v>
      </c>
      <c r="W98" s="63">
        <f>(2/4)*100</f>
        <v>50</v>
      </c>
      <c r="X98" s="64">
        <f>(V98/F98)*100</f>
        <v>65.135612988734266</v>
      </c>
      <c r="Y98" s="80"/>
    </row>
    <row r="99" spans="1:25" s="1" customFormat="1" ht="43.5" customHeight="1" x14ac:dyDescent="0.3">
      <c r="A99" s="68"/>
      <c r="B99" s="75"/>
      <c r="C99" s="76" t="s">
        <v>125</v>
      </c>
      <c r="D99" s="206" t="s">
        <v>215</v>
      </c>
      <c r="E99" s="207" t="s">
        <v>240</v>
      </c>
      <c r="F99" s="344">
        <v>950000000</v>
      </c>
      <c r="G99" s="317" t="s">
        <v>352</v>
      </c>
      <c r="H99" s="346">
        <v>1186638696</v>
      </c>
      <c r="I99" s="142" t="s">
        <v>527</v>
      </c>
      <c r="J99" s="208">
        <v>325000000</v>
      </c>
      <c r="K99" s="207" t="s">
        <v>242</v>
      </c>
      <c r="L99" s="171">
        <v>99838500</v>
      </c>
      <c r="M99" s="207"/>
      <c r="N99" s="210"/>
      <c r="O99" s="210" t="s">
        <v>528</v>
      </c>
      <c r="P99" s="210">
        <v>99674000</v>
      </c>
      <c r="Q99" s="210" t="s">
        <v>528</v>
      </c>
      <c r="R99" s="210">
        <v>123562000</v>
      </c>
      <c r="S99" s="170" t="s">
        <v>528</v>
      </c>
      <c r="T99" s="211">
        <f>L99+N99+P99+R99</f>
        <v>323074500</v>
      </c>
      <c r="U99" s="170" t="s">
        <v>529</v>
      </c>
      <c r="V99" s="63">
        <f>H99+T99</f>
        <v>1509713196</v>
      </c>
      <c r="W99" s="61">
        <v>0</v>
      </c>
      <c r="X99" s="64">
        <f>(V99/F99)*100</f>
        <v>158.91717852631581</v>
      </c>
      <c r="Y99" s="80"/>
    </row>
    <row r="100" spans="1:25" s="1" customFormat="1" ht="57.75" customHeight="1" x14ac:dyDescent="0.3">
      <c r="A100" s="68"/>
      <c r="B100" s="75"/>
      <c r="C100" s="76" t="s">
        <v>126</v>
      </c>
      <c r="D100" s="206" t="s">
        <v>378</v>
      </c>
      <c r="E100" s="207" t="s">
        <v>379</v>
      </c>
      <c r="F100" s="344">
        <v>6256000000</v>
      </c>
      <c r="G100" s="207" t="s">
        <v>400</v>
      </c>
      <c r="H100" s="346">
        <v>22230039300</v>
      </c>
      <c r="I100" s="142" t="str">
        <f t="shared" si="37"/>
        <v>259 orang</v>
      </c>
      <c r="J100" s="208">
        <v>734400000</v>
      </c>
      <c r="K100" s="142" t="s">
        <v>428</v>
      </c>
      <c r="L100" s="119">
        <v>142801500</v>
      </c>
      <c r="M100" s="142" t="str">
        <f>K100</f>
        <v>259 orang/3 paket</v>
      </c>
      <c r="N100" s="119">
        <v>89862000</v>
      </c>
      <c r="O100" s="142" t="str">
        <f>M100</f>
        <v>259 orang/3 paket</v>
      </c>
      <c r="P100" s="119">
        <v>144201000</v>
      </c>
      <c r="Q100" s="142" t="str">
        <f>O100</f>
        <v>259 orang/3 paket</v>
      </c>
      <c r="R100" s="119">
        <v>340972300</v>
      </c>
      <c r="S100" s="87" t="s">
        <v>530</v>
      </c>
      <c r="T100" s="121">
        <f>L100+N100+P100+R100</f>
        <v>717836800</v>
      </c>
      <c r="U100" s="67" t="s">
        <v>531</v>
      </c>
      <c r="V100" s="63">
        <f>H100+T100</f>
        <v>22947876100</v>
      </c>
      <c r="W100" s="63">
        <f>(9/10)*100</f>
        <v>90</v>
      </c>
      <c r="X100" s="64">
        <f>(V100/F100)*100</f>
        <v>366.8138762787724</v>
      </c>
      <c r="Y100" s="80"/>
    </row>
    <row r="101" spans="1:25" s="1" customFormat="1" ht="72.75" customHeight="1" x14ac:dyDescent="0.3">
      <c r="A101" s="68"/>
      <c r="B101" s="75"/>
      <c r="C101" s="76" t="s">
        <v>127</v>
      </c>
      <c r="D101" s="206" t="s">
        <v>401</v>
      </c>
      <c r="E101" s="207" t="s">
        <v>241</v>
      </c>
      <c r="F101" s="344">
        <v>1437226384</v>
      </c>
      <c r="G101" s="317" t="s">
        <v>241</v>
      </c>
      <c r="H101" s="346">
        <v>618664300</v>
      </c>
      <c r="I101" s="142" t="str">
        <f t="shared" si="37"/>
        <v>10 Bagian</v>
      </c>
      <c r="J101" s="208">
        <v>215658500</v>
      </c>
      <c r="K101" s="61" t="s">
        <v>241</v>
      </c>
      <c r="L101" s="119">
        <v>45873000</v>
      </c>
      <c r="M101" s="61" t="str">
        <f>K101</f>
        <v>10 Bagian</v>
      </c>
      <c r="N101" s="119">
        <v>15938000</v>
      </c>
      <c r="O101" s="61" t="str">
        <f>M101</f>
        <v>10 Bagian</v>
      </c>
      <c r="P101" s="402">
        <v>11970500</v>
      </c>
      <c r="Q101" s="61" t="str">
        <f>O101</f>
        <v>10 Bagian</v>
      </c>
      <c r="R101" s="212">
        <v>140083300</v>
      </c>
      <c r="S101" s="61" t="s">
        <v>241</v>
      </c>
      <c r="T101" s="121">
        <f>L101+N101+P101+R101</f>
        <v>213864800</v>
      </c>
      <c r="U101" s="61" t="s">
        <v>532</v>
      </c>
      <c r="V101" s="63">
        <f>H101+T101</f>
        <v>832529100</v>
      </c>
      <c r="W101" s="63">
        <f>(9/10)*100</f>
        <v>90</v>
      </c>
      <c r="X101" s="64">
        <f>(V101/F101)*100</f>
        <v>57.926093569403889</v>
      </c>
      <c r="Y101" s="80"/>
    </row>
    <row r="102" spans="1:25" s="1" customFormat="1" ht="45.75" customHeight="1" x14ac:dyDescent="0.3">
      <c r="A102" s="68"/>
      <c r="B102" s="75"/>
      <c r="C102" s="76" t="s">
        <v>128</v>
      </c>
      <c r="D102" s="213" t="s">
        <v>216</v>
      </c>
      <c r="E102" s="207" t="s">
        <v>56</v>
      </c>
      <c r="F102" s="485">
        <v>2965350000</v>
      </c>
      <c r="G102" s="317" t="s">
        <v>430</v>
      </c>
      <c r="H102" s="485">
        <v>2024117150</v>
      </c>
      <c r="I102" s="142" t="s">
        <v>429</v>
      </c>
      <c r="J102" s="574">
        <v>850000000</v>
      </c>
      <c r="K102" s="142" t="s">
        <v>431</v>
      </c>
      <c r="L102" s="488">
        <v>201102000</v>
      </c>
      <c r="M102" s="142" t="s">
        <v>431</v>
      </c>
      <c r="N102" s="488">
        <v>8090000</v>
      </c>
      <c r="O102" s="385" t="s">
        <v>550</v>
      </c>
      <c r="P102" s="488">
        <v>211626000</v>
      </c>
      <c r="Q102" s="142" t="s">
        <v>431</v>
      </c>
      <c r="R102" s="488">
        <v>401285124</v>
      </c>
      <c r="S102" s="214" t="s">
        <v>533</v>
      </c>
      <c r="T102" s="492">
        <f>L102+N102+P102+R102</f>
        <v>822103124</v>
      </c>
      <c r="U102" s="215" t="s">
        <v>534</v>
      </c>
      <c r="V102" s="455">
        <f>H102+T102</f>
        <v>2846220274</v>
      </c>
      <c r="W102" s="63">
        <f>(10/60)*100</f>
        <v>16.666666666666664</v>
      </c>
      <c r="X102" s="499">
        <f>(V102/F102)*100</f>
        <v>95.982608258721569</v>
      </c>
      <c r="Y102" s="80"/>
    </row>
    <row r="103" spans="1:25" s="1" customFormat="1" ht="56.25" customHeight="1" x14ac:dyDescent="0.3">
      <c r="A103" s="68"/>
      <c r="B103" s="75"/>
      <c r="C103" s="76"/>
      <c r="D103" s="213" t="s">
        <v>217</v>
      </c>
      <c r="E103" s="207" t="s">
        <v>44</v>
      </c>
      <c r="F103" s="487"/>
      <c r="G103" s="317">
        <v>0</v>
      </c>
      <c r="H103" s="487"/>
      <c r="I103" s="142" t="str">
        <f t="shared" si="37"/>
        <v>7 jenis</v>
      </c>
      <c r="J103" s="575"/>
      <c r="K103" s="61" t="s">
        <v>44</v>
      </c>
      <c r="L103" s="490"/>
      <c r="M103" s="61" t="s">
        <v>44</v>
      </c>
      <c r="N103" s="490"/>
      <c r="O103" s="120" t="s">
        <v>246</v>
      </c>
      <c r="P103" s="490"/>
      <c r="Q103" s="120"/>
      <c r="R103" s="490"/>
      <c r="S103" s="122">
        <v>0</v>
      </c>
      <c r="T103" s="493"/>
      <c r="U103" s="114">
        <v>0</v>
      </c>
      <c r="V103" s="456"/>
      <c r="W103" s="63">
        <v>0</v>
      </c>
      <c r="X103" s="500"/>
      <c r="Y103" s="80"/>
    </row>
    <row r="104" spans="1:25" s="1" customFormat="1" ht="62.25" customHeight="1" x14ac:dyDescent="0.3">
      <c r="A104" s="68"/>
      <c r="B104" s="75"/>
      <c r="C104" s="76" t="s">
        <v>129</v>
      </c>
      <c r="D104" s="213" t="s">
        <v>218</v>
      </c>
      <c r="E104" s="207" t="s">
        <v>57</v>
      </c>
      <c r="F104" s="485">
        <v>4213447771</v>
      </c>
      <c r="G104" s="317" t="s">
        <v>57</v>
      </c>
      <c r="H104" s="485">
        <v>4836088319</v>
      </c>
      <c r="I104" s="142" t="str">
        <f t="shared" si="37"/>
        <v>45 ASN</v>
      </c>
      <c r="J104" s="574">
        <v>2844406000</v>
      </c>
      <c r="K104" s="61" t="s">
        <v>57</v>
      </c>
      <c r="L104" s="488">
        <v>511291830</v>
      </c>
      <c r="M104" s="61" t="s">
        <v>57</v>
      </c>
      <c r="N104" s="488">
        <v>437139536</v>
      </c>
      <c r="O104" s="61" t="s">
        <v>57</v>
      </c>
      <c r="P104" s="488">
        <v>717822460</v>
      </c>
      <c r="Q104" s="61" t="s">
        <v>57</v>
      </c>
      <c r="R104" s="488">
        <v>1128011299</v>
      </c>
      <c r="S104" s="61" t="s">
        <v>576</v>
      </c>
      <c r="T104" s="492">
        <f>L104+N104+P104+R104</f>
        <v>2794265125</v>
      </c>
      <c r="U104" s="62" t="s">
        <v>380</v>
      </c>
      <c r="V104" s="63">
        <f>H104+T104</f>
        <v>7630353444</v>
      </c>
      <c r="W104" s="63">
        <f>(25/45)*100</f>
        <v>55.555555555555557</v>
      </c>
      <c r="X104" s="499">
        <f>(V104/F104)*100</f>
        <v>181.0952421557856</v>
      </c>
      <c r="Y104" s="80"/>
    </row>
    <row r="105" spans="1:25" s="1" customFormat="1" ht="75" customHeight="1" x14ac:dyDescent="0.3">
      <c r="A105" s="68"/>
      <c r="B105" s="75"/>
      <c r="C105" s="76"/>
      <c r="D105" s="204" t="s">
        <v>219</v>
      </c>
      <c r="E105" s="216" t="s">
        <v>46</v>
      </c>
      <c r="F105" s="487"/>
      <c r="G105" s="311" t="s">
        <v>289</v>
      </c>
      <c r="H105" s="487"/>
      <c r="I105" s="142" t="str">
        <f t="shared" si="37"/>
        <v>450 kegiatan</v>
      </c>
      <c r="J105" s="575"/>
      <c r="K105" s="87" t="s">
        <v>432</v>
      </c>
      <c r="L105" s="490"/>
      <c r="M105" s="87" t="s">
        <v>435</v>
      </c>
      <c r="N105" s="490"/>
      <c r="O105" s="87" t="s">
        <v>551</v>
      </c>
      <c r="P105" s="490"/>
      <c r="Q105" s="87" t="s">
        <v>575</v>
      </c>
      <c r="R105" s="490"/>
      <c r="S105" s="87" t="s">
        <v>577</v>
      </c>
      <c r="T105" s="493"/>
      <c r="U105" s="67" t="s">
        <v>535</v>
      </c>
      <c r="V105" s="63"/>
      <c r="W105" s="63">
        <f>(64/450)*100</f>
        <v>14.222222222222221</v>
      </c>
      <c r="X105" s="500"/>
      <c r="Y105" s="80"/>
    </row>
    <row r="106" spans="1:25" s="1" customFormat="1" ht="121.5" customHeight="1" x14ac:dyDescent="0.3">
      <c r="A106" s="68"/>
      <c r="B106" s="75"/>
      <c r="C106" s="139" t="s">
        <v>130</v>
      </c>
      <c r="D106" s="201" t="s">
        <v>96</v>
      </c>
      <c r="E106" s="202">
        <v>90</v>
      </c>
      <c r="F106" s="341">
        <f>F107</f>
        <v>1000000000</v>
      </c>
      <c r="G106" s="319" t="s">
        <v>351</v>
      </c>
      <c r="H106" s="343">
        <f>H107</f>
        <v>789579000</v>
      </c>
      <c r="I106" s="146"/>
      <c r="J106" s="203"/>
      <c r="K106" s="105"/>
      <c r="L106" s="217"/>
      <c r="M106" s="105"/>
      <c r="N106" s="218"/>
      <c r="O106" s="217"/>
      <c r="P106" s="218"/>
      <c r="Q106" s="219"/>
      <c r="R106" s="218"/>
      <c r="S106" s="105"/>
      <c r="T106" s="141">
        <f>T107</f>
        <v>0</v>
      </c>
      <c r="U106" s="105">
        <f>S106</f>
        <v>0</v>
      </c>
      <c r="V106" s="133">
        <f>H106+T106</f>
        <v>789579000</v>
      </c>
      <c r="W106" s="133">
        <f>(U106/E106)*100</f>
        <v>0</v>
      </c>
      <c r="X106" s="64">
        <f>(V106/F106)*100</f>
        <v>78.957900000000009</v>
      </c>
      <c r="Y106" s="146"/>
    </row>
    <row r="107" spans="1:25" s="372" customFormat="1" ht="36.75" customHeight="1" x14ac:dyDescent="0.3">
      <c r="A107" s="158"/>
      <c r="B107" s="370"/>
      <c r="C107" s="76" t="s">
        <v>131</v>
      </c>
      <c r="D107" s="204" t="s">
        <v>220</v>
      </c>
      <c r="E107" s="216" t="s">
        <v>242</v>
      </c>
      <c r="F107" s="344">
        <v>1000000000</v>
      </c>
      <c r="G107" s="345" t="s">
        <v>240</v>
      </c>
      <c r="H107" s="346">
        <v>789579000</v>
      </c>
      <c r="I107" s="142"/>
      <c r="J107" s="208"/>
      <c r="K107" s="61"/>
      <c r="L107" s="224"/>
      <c r="O107" s="387"/>
      <c r="P107" s="421"/>
      <c r="Q107" s="308"/>
      <c r="R107" s="210"/>
      <c r="S107" s="61"/>
      <c r="T107" s="170">
        <f>P107+R107</f>
        <v>0</v>
      </c>
      <c r="U107" s="61" t="s">
        <v>49</v>
      </c>
      <c r="V107" s="138">
        <f>T107</f>
        <v>0</v>
      </c>
      <c r="W107" s="61">
        <v>0</v>
      </c>
      <c r="X107" s="64">
        <f t="shared" ref="X107:X112" si="38">(V107/F107)*100</f>
        <v>0</v>
      </c>
      <c r="Y107" s="371"/>
    </row>
    <row r="108" spans="1:25" s="1" customFormat="1" ht="108" customHeight="1" x14ac:dyDescent="0.3">
      <c r="A108" s="68"/>
      <c r="B108" s="75"/>
      <c r="C108" s="139" t="s">
        <v>132</v>
      </c>
      <c r="D108" s="201" t="s">
        <v>96</v>
      </c>
      <c r="E108" s="202">
        <v>90</v>
      </c>
      <c r="F108" s="341">
        <f>F109+F110+F111</f>
        <v>51261168568</v>
      </c>
      <c r="G108" s="319" t="s">
        <v>351</v>
      </c>
      <c r="H108" s="343">
        <f>H109+H110+H111</f>
        <v>25498497969</v>
      </c>
      <c r="I108" s="146">
        <f t="shared" si="37"/>
        <v>90</v>
      </c>
      <c r="J108" s="397">
        <f>J109+J110+J111</f>
        <v>4155554672</v>
      </c>
      <c r="K108" s="110">
        <v>0.94</v>
      </c>
      <c r="L108" s="106">
        <f>L109+L110+L111</f>
        <v>1520612160</v>
      </c>
      <c r="M108" s="134">
        <v>0.98</v>
      </c>
      <c r="N108" s="106">
        <f>N109+N110+N111</f>
        <v>576607494</v>
      </c>
      <c r="O108" s="119"/>
      <c r="P108" s="106">
        <f>P109+P110+P111</f>
        <v>710921893</v>
      </c>
      <c r="Q108" s="220"/>
      <c r="R108" s="106">
        <f>R109+R110+R111</f>
        <v>1155746858</v>
      </c>
      <c r="S108" s="105">
        <f>K108</f>
        <v>0.94</v>
      </c>
      <c r="T108" s="394">
        <f>R108+P108+N108+L108</f>
        <v>3963888405</v>
      </c>
      <c r="U108" s="134">
        <v>0.98</v>
      </c>
      <c r="V108" s="133">
        <f>H108+T108</f>
        <v>29462386374</v>
      </c>
      <c r="W108" s="133">
        <f>(U108/E108)*100</f>
        <v>1.0888888888888888</v>
      </c>
      <c r="X108" s="64">
        <f t="shared" si="38"/>
        <v>57.475058015731648</v>
      </c>
      <c r="Y108" s="146"/>
    </row>
    <row r="109" spans="1:25" s="1" customFormat="1" ht="40.5" customHeight="1" x14ac:dyDescent="0.3">
      <c r="A109" s="68"/>
      <c r="B109" s="75"/>
      <c r="C109" s="76" t="s">
        <v>133</v>
      </c>
      <c r="D109" s="213" t="s">
        <v>221</v>
      </c>
      <c r="E109" s="207" t="s">
        <v>243</v>
      </c>
      <c r="F109" s="344">
        <v>320474140</v>
      </c>
      <c r="G109" s="311" t="s">
        <v>306</v>
      </c>
      <c r="H109" s="346">
        <v>106998000</v>
      </c>
      <c r="I109" s="142" t="str">
        <f t="shared" si="37"/>
        <v>8.150 dokumen</v>
      </c>
      <c r="J109" s="208">
        <v>594682000</v>
      </c>
      <c r="K109" s="87" t="s">
        <v>433</v>
      </c>
      <c r="L109" s="119">
        <v>480715000</v>
      </c>
      <c r="M109" s="87" t="s">
        <v>434</v>
      </c>
      <c r="N109" s="119">
        <v>26702000</v>
      </c>
      <c r="O109" s="87" t="s">
        <v>552</v>
      </c>
      <c r="P109" s="388">
        <v>23645000</v>
      </c>
      <c r="Q109" s="398" t="s">
        <v>578</v>
      </c>
      <c r="R109" s="119">
        <v>48610000</v>
      </c>
      <c r="S109" s="87" t="s">
        <v>419</v>
      </c>
      <c r="T109" s="121">
        <f>L109+N109+P109+R109</f>
        <v>579672000</v>
      </c>
      <c r="U109" s="67" t="s">
        <v>536</v>
      </c>
      <c r="V109" s="63">
        <f>H109+T109</f>
        <v>686670000</v>
      </c>
      <c r="W109" s="63">
        <f>(2676/8150)*100</f>
        <v>32.834355828220858</v>
      </c>
      <c r="X109" s="64">
        <f t="shared" si="38"/>
        <v>214.26689841495482</v>
      </c>
      <c r="Y109" s="80"/>
    </row>
    <row r="110" spans="1:25" s="1" customFormat="1" ht="60" customHeight="1" x14ac:dyDescent="0.3">
      <c r="A110" s="68"/>
      <c r="B110" s="75"/>
      <c r="C110" s="76" t="s">
        <v>27</v>
      </c>
      <c r="D110" s="213" t="s">
        <v>28</v>
      </c>
      <c r="E110" s="207" t="s">
        <v>244</v>
      </c>
      <c r="F110" s="344">
        <v>45450694428</v>
      </c>
      <c r="G110" s="345" t="str">
        <f>E110</f>
        <v>6 Jenis</v>
      </c>
      <c r="H110" s="346">
        <v>22367110812</v>
      </c>
      <c r="I110" s="142" t="str">
        <f t="shared" si="37"/>
        <v>6 Jenis</v>
      </c>
      <c r="J110" s="208">
        <v>2160492672</v>
      </c>
      <c r="K110" s="142" t="str">
        <f>I110</f>
        <v>6 Jenis</v>
      </c>
      <c r="L110" s="119">
        <v>691359660</v>
      </c>
      <c r="M110" s="142" t="str">
        <f>K110</f>
        <v>6 Jenis</v>
      </c>
      <c r="N110" s="119">
        <v>337126494</v>
      </c>
      <c r="O110" s="142" t="str">
        <f>M110</f>
        <v>6 Jenis</v>
      </c>
      <c r="P110" s="389">
        <v>347568393</v>
      </c>
      <c r="Q110" s="142" t="str">
        <f>O110</f>
        <v>6 Jenis</v>
      </c>
      <c r="R110" s="120">
        <v>672124858</v>
      </c>
      <c r="S110" s="142" t="str">
        <f>I110</f>
        <v>6 Jenis</v>
      </c>
      <c r="T110" s="121">
        <f>L110+N110+P110+R110</f>
        <v>2048179405</v>
      </c>
      <c r="U110" s="142" t="s">
        <v>537</v>
      </c>
      <c r="V110" s="63">
        <f>H110+T110</f>
        <v>24415290217</v>
      </c>
      <c r="W110" s="63">
        <v>100</v>
      </c>
      <c r="X110" s="64">
        <f t="shared" si="38"/>
        <v>53.718189621232511</v>
      </c>
      <c r="Y110" s="80"/>
    </row>
    <row r="111" spans="1:25" s="1" customFormat="1" ht="42" customHeight="1" x14ac:dyDescent="0.3">
      <c r="A111" s="68"/>
      <c r="B111" s="75"/>
      <c r="C111" s="76" t="s">
        <v>134</v>
      </c>
      <c r="D111" s="213" t="s">
        <v>29</v>
      </c>
      <c r="E111" s="207" t="s">
        <v>45</v>
      </c>
      <c r="F111" s="485">
        <v>5490000000</v>
      </c>
      <c r="G111" s="340" t="str">
        <f>E111</f>
        <v>1 MOU</v>
      </c>
      <c r="H111" s="485">
        <v>3024389157</v>
      </c>
      <c r="I111" s="142" t="str">
        <f t="shared" si="37"/>
        <v>1 MOU</v>
      </c>
      <c r="J111" s="455">
        <v>1400380000</v>
      </c>
      <c r="K111" s="142" t="str">
        <f t="shared" si="37"/>
        <v>1 MOU</v>
      </c>
      <c r="L111" s="488">
        <v>348537500</v>
      </c>
      <c r="M111" s="142" t="str">
        <f t="shared" si="37"/>
        <v>1 MOU</v>
      </c>
      <c r="N111" s="488">
        <v>212779000</v>
      </c>
      <c r="O111" s="142" t="str">
        <f t="shared" si="37"/>
        <v>1 MOU</v>
      </c>
      <c r="P111" s="488">
        <v>339708500</v>
      </c>
      <c r="Q111" s="142" t="str">
        <f t="shared" si="37"/>
        <v>1 MOU</v>
      </c>
      <c r="R111" s="488">
        <v>435012000</v>
      </c>
      <c r="S111" s="62" t="str">
        <f>K111</f>
        <v>1 MOU</v>
      </c>
      <c r="T111" s="492">
        <f>L111+N111+P111+R111</f>
        <v>1336037000</v>
      </c>
      <c r="U111" s="62" t="s">
        <v>381</v>
      </c>
      <c r="V111" s="455">
        <f>H111+T111</f>
        <v>4360426157</v>
      </c>
      <c r="W111" s="63">
        <v>100</v>
      </c>
      <c r="X111" s="64">
        <f t="shared" si="38"/>
        <v>79.424884462659378</v>
      </c>
      <c r="Y111" s="80"/>
    </row>
    <row r="112" spans="1:25" s="1" customFormat="1" ht="45" customHeight="1" x14ac:dyDescent="0.3">
      <c r="A112" s="68"/>
      <c r="B112" s="75"/>
      <c r="C112" s="76"/>
      <c r="D112" s="213" t="s">
        <v>31</v>
      </c>
      <c r="E112" s="221" t="s">
        <v>47</v>
      </c>
      <c r="F112" s="486"/>
      <c r="G112" s="311" t="s">
        <v>307</v>
      </c>
      <c r="H112" s="486"/>
      <c r="I112" s="222" t="str">
        <f t="shared" si="37"/>
        <v>110 operasional</v>
      </c>
      <c r="J112" s="491"/>
      <c r="K112" s="222" t="s">
        <v>553</v>
      </c>
      <c r="L112" s="489"/>
      <c r="M112" s="222" t="s">
        <v>553</v>
      </c>
      <c r="N112" s="489"/>
      <c r="O112" s="222" t="str">
        <f t="shared" si="37"/>
        <v>30 operasional</v>
      </c>
      <c r="P112" s="489"/>
      <c r="Q112" s="222"/>
      <c r="R112" s="489"/>
      <c r="S112" s="87"/>
      <c r="T112" s="498"/>
      <c r="U112" s="67"/>
      <c r="V112" s="491"/>
      <c r="W112" s="63">
        <f>(7/110)*100</f>
        <v>6.3636363636363633</v>
      </c>
      <c r="X112" s="64" t="e">
        <f t="shared" si="38"/>
        <v>#DIV/0!</v>
      </c>
      <c r="Y112" s="80"/>
    </row>
    <row r="113" spans="1:25" s="1" customFormat="1" ht="56.25" customHeight="1" x14ac:dyDescent="0.3">
      <c r="A113" s="68"/>
      <c r="B113" s="75"/>
      <c r="C113" s="76"/>
      <c r="D113" s="204" t="s">
        <v>222</v>
      </c>
      <c r="E113" s="216" t="s">
        <v>245</v>
      </c>
      <c r="F113" s="487"/>
      <c r="G113" s="347">
        <v>0</v>
      </c>
      <c r="H113" s="487"/>
      <c r="I113" s="142" t="str">
        <f t="shared" si="37"/>
        <v>260 Orang</v>
      </c>
      <c r="J113" s="456"/>
      <c r="K113" s="142"/>
      <c r="L113" s="490"/>
      <c r="M113" s="142"/>
      <c r="N113" s="490"/>
      <c r="O113" s="142" t="s">
        <v>554</v>
      </c>
      <c r="P113" s="490"/>
      <c r="Q113" s="142"/>
      <c r="R113" s="490"/>
      <c r="S113" s="61">
        <v>0</v>
      </c>
      <c r="T113" s="493"/>
      <c r="U113" s="61">
        <v>0</v>
      </c>
      <c r="V113" s="456"/>
      <c r="W113" s="63">
        <v>0</v>
      </c>
      <c r="X113" s="64"/>
      <c r="Y113" s="80"/>
    </row>
    <row r="114" spans="1:25" s="1" customFormat="1" ht="76.5" customHeight="1" x14ac:dyDescent="0.3">
      <c r="A114" s="68"/>
      <c r="B114" s="75"/>
      <c r="C114" s="139" t="s">
        <v>135</v>
      </c>
      <c r="D114" s="201" t="s">
        <v>223</v>
      </c>
      <c r="E114" s="205">
        <v>1</v>
      </c>
      <c r="F114" s="341">
        <f>F115+F116+F117+F121+F122</f>
        <v>24761685005</v>
      </c>
      <c r="G114" s="319" t="s">
        <v>353</v>
      </c>
      <c r="H114" s="438">
        <f>H115+H116+H117+H121+H122</f>
        <v>14922420871</v>
      </c>
      <c r="I114" s="146" t="s">
        <v>353</v>
      </c>
      <c r="J114" s="595">
        <f>J115+J117+J121+J122</f>
        <v>4906633425</v>
      </c>
      <c r="K114" s="319" t="s">
        <v>353</v>
      </c>
      <c r="L114" s="223">
        <f>L115+L116+L117+L121+L122</f>
        <v>902722258</v>
      </c>
      <c r="M114" s="173" t="str">
        <f>K114</f>
        <v>4 Kolompok Asset Tetap</v>
      </c>
      <c r="N114" s="393">
        <f>N115+N116+N117+N121+N122</f>
        <v>1024909899</v>
      </c>
      <c r="O114" s="173"/>
      <c r="P114" s="393">
        <f>P115+P116+P117+P121+P122</f>
        <v>960651928</v>
      </c>
      <c r="Q114" s="173"/>
      <c r="R114" s="223">
        <f>R115+R116+R117+R121+R122</f>
        <v>1861289519</v>
      </c>
      <c r="S114" s="173" t="s">
        <v>314</v>
      </c>
      <c r="T114" s="394">
        <f>R114+P114+N114+L114</f>
        <v>4749573604</v>
      </c>
      <c r="U114" s="173" t="str">
        <f>S114</f>
        <v>93.06%</v>
      </c>
      <c r="V114" s="133">
        <f>H114+L114</f>
        <v>15825143129</v>
      </c>
      <c r="W114" s="133">
        <v>100</v>
      </c>
      <c r="X114" s="188">
        <f>(V114/F114)*100</f>
        <v>63.909799053677119</v>
      </c>
      <c r="Y114" s="146"/>
    </row>
    <row r="115" spans="1:25" s="1" customFormat="1" ht="96.75" customHeight="1" x14ac:dyDescent="0.3">
      <c r="A115" s="68"/>
      <c r="B115" s="75"/>
      <c r="C115" s="76" t="s">
        <v>136</v>
      </c>
      <c r="D115" s="213" t="s">
        <v>224</v>
      </c>
      <c r="E115" s="207" t="s">
        <v>55</v>
      </c>
      <c r="F115" s="344">
        <v>5550007200</v>
      </c>
      <c r="G115" s="317" t="s">
        <v>55</v>
      </c>
      <c r="H115" s="346">
        <v>4356559845</v>
      </c>
      <c r="I115" s="142" t="str">
        <f t="shared" si="37"/>
        <v>43 unit</v>
      </c>
      <c r="J115" s="208">
        <v>1723725000</v>
      </c>
      <c r="K115" s="61" t="s">
        <v>290</v>
      </c>
      <c r="L115" s="119">
        <v>122517578</v>
      </c>
      <c r="M115" s="61" t="s">
        <v>382</v>
      </c>
      <c r="N115" s="119">
        <v>546760899</v>
      </c>
      <c r="O115" s="61" t="s">
        <v>555</v>
      </c>
      <c r="P115" s="386">
        <v>315015438</v>
      </c>
      <c r="Q115" s="61" t="s">
        <v>382</v>
      </c>
      <c r="R115" s="119">
        <v>660068519</v>
      </c>
      <c r="S115" s="61" t="s">
        <v>579</v>
      </c>
      <c r="T115" s="121">
        <f>L115+N115+P115+R115</f>
        <v>1644362434</v>
      </c>
      <c r="U115" s="61" t="s">
        <v>538</v>
      </c>
      <c r="V115" s="63">
        <f>H115+T115</f>
        <v>6000922279</v>
      </c>
      <c r="W115" s="63">
        <f>(15/43)*100</f>
        <v>34.883720930232556</v>
      </c>
      <c r="X115" s="64">
        <f>(V115/F115)*100</f>
        <v>108.12458547801525</v>
      </c>
      <c r="Y115" s="80"/>
    </row>
    <row r="116" spans="1:25" s="372" customFormat="1" ht="42.75" customHeight="1" x14ac:dyDescent="0.3">
      <c r="A116" s="158"/>
      <c r="B116" s="370"/>
      <c r="C116" s="76" t="s">
        <v>137</v>
      </c>
      <c r="D116" s="213" t="s">
        <v>225</v>
      </c>
      <c r="E116" s="207" t="s">
        <v>246</v>
      </c>
      <c r="F116" s="344">
        <v>275000000</v>
      </c>
      <c r="G116" s="317" t="s">
        <v>246</v>
      </c>
      <c r="H116" s="346">
        <v>144188000</v>
      </c>
      <c r="I116" s="142"/>
      <c r="J116" s="208"/>
      <c r="K116" s="61">
        <v>0</v>
      </c>
      <c r="L116" s="373"/>
      <c r="M116" s="61">
        <v>0</v>
      </c>
      <c r="N116" s="373"/>
      <c r="O116" s="387"/>
      <c r="P116" s="388"/>
      <c r="Q116" s="224"/>
      <c r="R116" s="210"/>
      <c r="S116" s="224"/>
      <c r="T116" s="121"/>
      <c r="U116" s="224" t="s">
        <v>246</v>
      </c>
      <c r="V116" s="63">
        <f>H116+L116</f>
        <v>144188000</v>
      </c>
      <c r="W116" s="63">
        <v>100</v>
      </c>
      <c r="X116" s="64" t="s">
        <v>308</v>
      </c>
      <c r="Y116" s="371"/>
    </row>
    <row r="117" spans="1:25" s="1" customFormat="1" ht="61.5" customHeight="1" x14ac:dyDescent="0.3">
      <c r="A117" s="68"/>
      <c r="B117" s="75"/>
      <c r="C117" s="76" t="s">
        <v>138</v>
      </c>
      <c r="D117" s="213" t="s">
        <v>226</v>
      </c>
      <c r="E117" s="207" t="s">
        <v>247</v>
      </c>
      <c r="F117" s="485">
        <v>2650000000</v>
      </c>
      <c r="G117" s="317" t="s">
        <v>246</v>
      </c>
      <c r="H117" s="485">
        <v>1143549410</v>
      </c>
      <c r="I117" s="142" t="str">
        <f t="shared" si="37"/>
        <v>16 jenis</v>
      </c>
      <c r="J117" s="455">
        <v>600000000</v>
      </c>
      <c r="K117" s="61" t="s">
        <v>364</v>
      </c>
      <c r="L117" s="488">
        <v>82196500</v>
      </c>
      <c r="M117" s="61" t="s">
        <v>402</v>
      </c>
      <c r="N117" s="488">
        <v>86147000</v>
      </c>
      <c r="O117" s="61" t="s">
        <v>402</v>
      </c>
      <c r="P117" s="488">
        <v>131854000</v>
      </c>
      <c r="Q117" s="61" t="s">
        <v>364</v>
      </c>
      <c r="R117" s="488">
        <v>255846900</v>
      </c>
      <c r="S117" s="61" t="s">
        <v>44</v>
      </c>
      <c r="T117" s="492">
        <f>L117+N117+P117+R117</f>
        <v>556044400</v>
      </c>
      <c r="U117" s="61" t="s">
        <v>384</v>
      </c>
      <c r="V117" s="455">
        <f>H117+T117</f>
        <v>1699593810</v>
      </c>
      <c r="W117" s="63">
        <v>100</v>
      </c>
      <c r="X117" s="499">
        <f>(V117/F117)*100</f>
        <v>64.135615471698117</v>
      </c>
      <c r="Y117" s="515"/>
    </row>
    <row r="118" spans="1:25" s="1" customFormat="1" ht="45.75" customHeight="1" x14ac:dyDescent="0.3">
      <c r="A118" s="68"/>
      <c r="B118" s="75"/>
      <c r="C118" s="76"/>
      <c r="D118" s="213" t="s">
        <v>227</v>
      </c>
      <c r="E118" s="207" t="s">
        <v>248</v>
      </c>
      <c r="F118" s="486"/>
      <c r="G118" s="317" t="s">
        <v>248</v>
      </c>
      <c r="H118" s="486"/>
      <c r="I118" s="142" t="str">
        <f t="shared" si="37"/>
        <v>20 jenis</v>
      </c>
      <c r="J118" s="491"/>
      <c r="K118" s="61" t="s">
        <v>365</v>
      </c>
      <c r="L118" s="489"/>
      <c r="M118" s="61" t="s">
        <v>557</v>
      </c>
      <c r="N118" s="489"/>
      <c r="O118" s="61" t="s">
        <v>556</v>
      </c>
      <c r="P118" s="489"/>
      <c r="Q118" s="61" t="s">
        <v>364</v>
      </c>
      <c r="R118" s="489"/>
      <c r="S118" s="61" t="s">
        <v>384</v>
      </c>
      <c r="T118" s="498"/>
      <c r="U118" s="61" t="s">
        <v>385</v>
      </c>
      <c r="V118" s="491"/>
      <c r="W118" s="63">
        <v>100</v>
      </c>
      <c r="X118" s="516"/>
      <c r="Y118" s="474"/>
    </row>
    <row r="119" spans="1:25" s="1" customFormat="1" ht="48.75" customHeight="1" x14ac:dyDescent="0.3">
      <c r="A119" s="68"/>
      <c r="B119" s="75"/>
      <c r="C119" s="76"/>
      <c r="D119" s="213" t="s">
        <v>228</v>
      </c>
      <c r="E119" s="207" t="s">
        <v>248</v>
      </c>
      <c r="F119" s="486"/>
      <c r="G119" s="317" t="s">
        <v>248</v>
      </c>
      <c r="H119" s="486"/>
      <c r="I119" s="142" t="str">
        <f t="shared" si="37"/>
        <v>20 jenis</v>
      </c>
      <c r="J119" s="491"/>
      <c r="K119" s="61" t="s">
        <v>364</v>
      </c>
      <c r="L119" s="489"/>
      <c r="M119" s="61" t="s">
        <v>557</v>
      </c>
      <c r="N119" s="489"/>
      <c r="O119" s="61" t="s">
        <v>556</v>
      </c>
      <c r="P119" s="489"/>
      <c r="Q119" s="61" t="s">
        <v>364</v>
      </c>
      <c r="R119" s="489"/>
      <c r="S119" s="61" t="s">
        <v>383</v>
      </c>
      <c r="T119" s="498"/>
      <c r="U119" s="61" t="s">
        <v>539</v>
      </c>
      <c r="V119" s="491"/>
      <c r="W119" s="63">
        <v>100</v>
      </c>
      <c r="X119" s="516"/>
      <c r="Y119" s="474"/>
    </row>
    <row r="120" spans="1:25" s="1" customFormat="1" ht="48.75" customHeight="1" x14ac:dyDescent="0.3">
      <c r="A120" s="68"/>
      <c r="B120" s="75"/>
      <c r="C120" s="76"/>
      <c r="D120" s="213" t="s">
        <v>229</v>
      </c>
      <c r="E120" s="207" t="s">
        <v>248</v>
      </c>
      <c r="F120" s="487"/>
      <c r="G120" s="317" t="s">
        <v>248</v>
      </c>
      <c r="H120" s="487"/>
      <c r="I120" s="142" t="str">
        <f t="shared" si="37"/>
        <v>20 jenis</v>
      </c>
      <c r="J120" s="456"/>
      <c r="K120" s="61" t="s">
        <v>364</v>
      </c>
      <c r="L120" s="490"/>
      <c r="M120" s="61" t="s">
        <v>557</v>
      </c>
      <c r="N120" s="490"/>
      <c r="O120" s="61" t="s">
        <v>556</v>
      </c>
      <c r="P120" s="490"/>
      <c r="Q120" s="61" t="s">
        <v>364</v>
      </c>
      <c r="R120" s="490"/>
      <c r="S120" s="61" t="s">
        <v>383</v>
      </c>
      <c r="T120" s="493"/>
      <c r="U120" s="61" t="s">
        <v>539</v>
      </c>
      <c r="V120" s="456"/>
      <c r="W120" s="63">
        <v>100</v>
      </c>
      <c r="X120" s="500"/>
      <c r="Y120" s="475"/>
    </row>
    <row r="121" spans="1:25" s="1" customFormat="1" ht="47.25" customHeight="1" x14ac:dyDescent="0.3">
      <c r="A121" s="68"/>
      <c r="B121" s="75"/>
      <c r="C121" s="76" t="s">
        <v>139</v>
      </c>
      <c r="D121" s="213" t="s">
        <v>30</v>
      </c>
      <c r="E121" s="207" t="s">
        <v>249</v>
      </c>
      <c r="F121" s="344">
        <v>8700000000</v>
      </c>
      <c r="G121" s="348" t="s">
        <v>249</v>
      </c>
      <c r="H121" s="346">
        <v>4249300700</v>
      </c>
      <c r="I121" s="142" t="str">
        <f t="shared" si="37"/>
        <v>7 Bangunan Gedung</v>
      </c>
      <c r="J121" s="208">
        <v>1495638425</v>
      </c>
      <c r="K121" s="207" t="s">
        <v>366</v>
      </c>
      <c r="L121" s="225">
        <v>386564680</v>
      </c>
      <c r="M121" s="207" t="s">
        <v>386</v>
      </c>
      <c r="N121" s="375">
        <v>206145500</v>
      </c>
      <c r="O121" s="207" t="s">
        <v>249</v>
      </c>
      <c r="P121" s="390">
        <v>344739490</v>
      </c>
      <c r="Q121" s="207" t="s">
        <v>249</v>
      </c>
      <c r="R121" s="226">
        <v>551736600</v>
      </c>
      <c r="S121" s="207" t="s">
        <v>387</v>
      </c>
      <c r="T121" s="121">
        <f>N121+L121+P121+R121</f>
        <v>1489186270</v>
      </c>
      <c r="U121" s="207" t="s">
        <v>388</v>
      </c>
      <c r="V121" s="63">
        <f t="shared" ref="V121:V126" si="39">H121+T121</f>
        <v>5738486970</v>
      </c>
      <c r="W121" s="63">
        <v>100</v>
      </c>
      <c r="X121" s="64">
        <f t="shared" ref="X121:X129" si="40">(V121/F121)*100</f>
        <v>65.959620344827584</v>
      </c>
      <c r="Y121" s="80"/>
    </row>
    <row r="122" spans="1:25" s="1" customFormat="1" ht="65.25" customHeight="1" x14ac:dyDescent="0.3">
      <c r="A122" s="68"/>
      <c r="B122" s="75"/>
      <c r="C122" s="76" t="s">
        <v>140</v>
      </c>
      <c r="D122" s="204" t="s">
        <v>230</v>
      </c>
      <c r="E122" s="216" t="s">
        <v>250</v>
      </c>
      <c r="F122" s="344">
        <v>7586677805</v>
      </c>
      <c r="G122" s="349" t="s">
        <v>354</v>
      </c>
      <c r="H122" s="346">
        <v>5028822916</v>
      </c>
      <c r="I122" s="142" t="str">
        <f t="shared" si="37"/>
        <v>3 Rumah Dinas/Jabatan</v>
      </c>
      <c r="J122" s="208">
        <v>1087270000</v>
      </c>
      <c r="K122" s="216" t="s">
        <v>367</v>
      </c>
      <c r="L122" s="119">
        <v>311443500</v>
      </c>
      <c r="M122" s="216" t="s">
        <v>250</v>
      </c>
      <c r="N122" s="119">
        <v>185856500</v>
      </c>
      <c r="O122" s="207" t="s">
        <v>249</v>
      </c>
      <c r="P122" s="391">
        <v>169043000</v>
      </c>
      <c r="Q122" s="207" t="s">
        <v>249</v>
      </c>
      <c r="R122" s="119">
        <v>393637500</v>
      </c>
      <c r="S122" s="87" t="s">
        <v>295</v>
      </c>
      <c r="T122" s="121">
        <f>L122+N122+P122+R122</f>
        <v>1059980500</v>
      </c>
      <c r="U122" s="87" t="s">
        <v>389</v>
      </c>
      <c r="V122" s="63">
        <f t="shared" si="39"/>
        <v>6088803416</v>
      </c>
      <c r="W122" s="63">
        <v>100</v>
      </c>
      <c r="X122" s="64">
        <f t="shared" si="40"/>
        <v>80.256517707753105</v>
      </c>
      <c r="Y122" s="80"/>
    </row>
    <row r="123" spans="1:25" s="1" customFormat="1" ht="108.75" customHeight="1" x14ac:dyDescent="0.3">
      <c r="A123" s="68"/>
      <c r="B123" s="75"/>
      <c r="C123" s="139" t="s">
        <v>141</v>
      </c>
      <c r="D123" s="201" t="s">
        <v>96</v>
      </c>
      <c r="E123" s="202">
        <v>90</v>
      </c>
      <c r="F123" s="341">
        <f>F124+F125</f>
        <v>5134500000</v>
      </c>
      <c r="G123" s="319" t="s">
        <v>351</v>
      </c>
      <c r="H123" s="343">
        <f>H124+H125</f>
        <v>4511110140</v>
      </c>
      <c r="I123" s="146">
        <f t="shared" si="37"/>
        <v>90</v>
      </c>
      <c r="J123" s="203">
        <f>J124+J125</f>
        <v>2397309000</v>
      </c>
      <c r="K123" s="110">
        <v>0.28000000000000003</v>
      </c>
      <c r="L123" s="106">
        <f>L124+L125</f>
        <v>685480341</v>
      </c>
      <c r="M123" s="449">
        <v>0.28000000000000003</v>
      </c>
      <c r="N123" s="106">
        <f>N124+N125</f>
        <v>691420183</v>
      </c>
      <c r="O123" s="454">
        <v>0.06</v>
      </c>
      <c r="P123" s="106">
        <f>P124+P125</f>
        <v>145936618</v>
      </c>
      <c r="Q123" s="454">
        <v>0.32</v>
      </c>
      <c r="R123" s="106">
        <f>R124+R125</f>
        <v>784984952</v>
      </c>
      <c r="S123" s="134">
        <f>K123+M123+O123+Q123</f>
        <v>0.94000000000000017</v>
      </c>
      <c r="T123" s="141">
        <f>L123+N123+P123+R123</f>
        <v>2307822094</v>
      </c>
      <c r="U123" s="105">
        <f>S123</f>
        <v>0.94000000000000017</v>
      </c>
      <c r="V123" s="133">
        <f t="shared" si="39"/>
        <v>6818932234</v>
      </c>
      <c r="W123" s="133">
        <f>(U123/E123)*100</f>
        <v>1.0444444444444447</v>
      </c>
      <c r="X123" s="188">
        <f t="shared" si="40"/>
        <v>132.80615900282405</v>
      </c>
      <c r="Y123" s="146"/>
    </row>
    <row r="124" spans="1:25" s="1" customFormat="1" ht="54" customHeight="1" x14ac:dyDescent="0.3">
      <c r="A124" s="68"/>
      <c r="B124" s="75"/>
      <c r="C124" s="76" t="s">
        <v>142</v>
      </c>
      <c r="D124" s="204" t="s">
        <v>231</v>
      </c>
      <c r="E124" s="216" t="s">
        <v>251</v>
      </c>
      <c r="F124" s="344">
        <v>1250000000</v>
      </c>
      <c r="G124" s="349" t="s">
        <v>355</v>
      </c>
      <c r="H124" s="346">
        <v>2186839265</v>
      </c>
      <c r="I124" s="142" t="str">
        <f t="shared" si="37"/>
        <v>4 Orang</v>
      </c>
      <c r="J124" s="208">
        <v>1600000000</v>
      </c>
      <c r="K124" s="61" t="s">
        <v>251</v>
      </c>
      <c r="L124" s="301">
        <v>423067830</v>
      </c>
      <c r="M124" s="417" t="str">
        <f>K124</f>
        <v>4 Orang</v>
      </c>
      <c r="N124" s="1">
        <v>491629771</v>
      </c>
      <c r="O124" s="417" t="str">
        <f>M124</f>
        <v>4 Orang</v>
      </c>
      <c r="P124" s="392">
        <v>21176786</v>
      </c>
      <c r="Q124" s="61" t="s">
        <v>390</v>
      </c>
      <c r="R124" s="119">
        <v>650608554</v>
      </c>
      <c r="S124" s="61" t="s">
        <v>420</v>
      </c>
      <c r="T124" s="121">
        <f>L124+N124+P124+R124</f>
        <v>1586482941</v>
      </c>
      <c r="U124" s="62" t="s">
        <v>391</v>
      </c>
      <c r="V124" s="63">
        <f t="shared" si="39"/>
        <v>3773322206</v>
      </c>
      <c r="W124" s="63" t="s">
        <v>309</v>
      </c>
      <c r="X124" s="64">
        <f t="shared" si="40"/>
        <v>301.86577647999997</v>
      </c>
      <c r="Y124" s="80"/>
    </row>
    <row r="125" spans="1:25" s="37" customFormat="1" ht="72.75" customHeight="1" x14ac:dyDescent="0.3">
      <c r="A125" s="78"/>
      <c r="B125" s="374"/>
      <c r="C125" s="367" t="s">
        <v>373</v>
      </c>
      <c r="D125" s="228" t="s">
        <v>265</v>
      </c>
      <c r="E125" s="229" t="s">
        <v>48</v>
      </c>
      <c r="F125" s="350">
        <v>3884500000</v>
      </c>
      <c r="G125" s="311">
        <v>0</v>
      </c>
      <c r="H125" s="350">
        <v>2324270875</v>
      </c>
      <c r="I125" s="62" t="str">
        <f>E125</f>
        <v>2 orang</v>
      </c>
      <c r="J125" s="63">
        <v>797309000</v>
      </c>
      <c r="K125" s="61" t="s">
        <v>236</v>
      </c>
      <c r="L125" s="120">
        <v>262412511</v>
      </c>
      <c r="M125" s="230" t="s">
        <v>48</v>
      </c>
      <c r="N125" s="420">
        <v>199790412</v>
      </c>
      <c r="O125" s="230" t="s">
        <v>48</v>
      </c>
      <c r="P125" s="120">
        <v>124759832</v>
      </c>
      <c r="Q125" s="230" t="s">
        <v>48</v>
      </c>
      <c r="R125" s="117">
        <v>134376398</v>
      </c>
      <c r="S125" s="230" t="s">
        <v>390</v>
      </c>
      <c r="T125" s="297">
        <f>R125+P125+N125+L125</f>
        <v>721339153</v>
      </c>
      <c r="U125" s="230" t="str">
        <f t="shared" ref="U125" si="41">S125</f>
        <v>4 orang</v>
      </c>
      <c r="V125" s="303">
        <f>H125+T125</f>
        <v>3045610028</v>
      </c>
      <c r="W125" s="114" t="str">
        <f>W124</f>
        <v>112.5</v>
      </c>
      <c r="X125" s="188">
        <f>(V125/F125)*100</f>
        <v>78.404171141717086</v>
      </c>
      <c r="Y125" s="266" t="s">
        <v>34</v>
      </c>
    </row>
    <row r="126" spans="1:25" s="1" customFormat="1" ht="108" customHeight="1" thickBot="1" x14ac:dyDescent="0.35">
      <c r="A126" s="68"/>
      <c r="B126" s="75"/>
      <c r="C126" s="139" t="s">
        <v>325</v>
      </c>
      <c r="D126" s="201" t="s">
        <v>96</v>
      </c>
      <c r="E126" s="296">
        <v>90</v>
      </c>
      <c r="F126" s="343">
        <f>F127+F128+F129</f>
        <v>4965000000</v>
      </c>
      <c r="G126" s="319" t="s">
        <v>351</v>
      </c>
      <c r="H126" s="343">
        <f>H127+H128+H129</f>
        <v>12314913261</v>
      </c>
      <c r="I126" s="104">
        <v>0.9</v>
      </c>
      <c r="J126" s="111">
        <f>J127+J128+J129</f>
        <v>5563925400</v>
      </c>
      <c r="K126" s="173">
        <v>0.28999999999999998</v>
      </c>
      <c r="L126" s="295">
        <f>L127+L128+L129</f>
        <v>1640129000</v>
      </c>
      <c r="M126" s="67">
        <v>0.22</v>
      </c>
      <c r="N126" s="418">
        <f>N127+N128+N129</f>
        <v>1238047500</v>
      </c>
      <c r="O126" s="67">
        <v>0.22</v>
      </c>
      <c r="P126" s="106">
        <f>P127+P128+P129</f>
        <v>1269830800</v>
      </c>
      <c r="Q126" s="368">
        <v>0.25</v>
      </c>
      <c r="R126" s="399">
        <f>R127+R128+R129</f>
        <v>1391157000</v>
      </c>
      <c r="S126" s="369">
        <f>K126+M126+O126+Q126</f>
        <v>0.98</v>
      </c>
      <c r="T126" s="394">
        <f>L126+N126+P126+R126</f>
        <v>5539164300</v>
      </c>
      <c r="U126" s="376"/>
      <c r="V126" s="305">
        <f t="shared" si="39"/>
        <v>17854077561</v>
      </c>
      <c r="W126" s="114"/>
      <c r="X126" s="188">
        <f t="shared" si="40"/>
        <v>359.59874241691841</v>
      </c>
      <c r="Y126" s="264" t="s">
        <v>8</v>
      </c>
    </row>
    <row r="127" spans="1:25" s="1" customFormat="1" ht="53.25" customHeight="1" x14ac:dyDescent="0.3">
      <c r="A127" s="68"/>
      <c r="B127" s="75"/>
      <c r="C127" s="76" t="s">
        <v>143</v>
      </c>
      <c r="D127" s="231" t="s">
        <v>232</v>
      </c>
      <c r="E127" s="232" t="s">
        <v>252</v>
      </c>
      <c r="F127" s="344">
        <v>1500000000</v>
      </c>
      <c r="G127" s="351" t="s">
        <v>252</v>
      </c>
      <c r="H127" s="346">
        <v>1008000000</v>
      </c>
      <c r="I127" s="142" t="str">
        <f t="shared" si="37"/>
        <v>12 bulan</v>
      </c>
      <c r="J127" s="208">
        <v>336000000</v>
      </c>
      <c r="K127" s="61" t="s">
        <v>291</v>
      </c>
      <c r="L127" s="119">
        <v>84000000</v>
      </c>
      <c r="M127" s="61" t="s">
        <v>291</v>
      </c>
      <c r="N127" s="119">
        <v>84000000</v>
      </c>
      <c r="O127" s="61" t="s">
        <v>291</v>
      </c>
      <c r="P127" s="388">
        <v>84000000</v>
      </c>
      <c r="Q127" s="61" t="s">
        <v>291</v>
      </c>
      <c r="R127" s="120">
        <v>84000000</v>
      </c>
      <c r="S127" s="61" t="s">
        <v>291</v>
      </c>
      <c r="T127" s="121">
        <f>L127+N127+P127+R127</f>
        <v>336000000</v>
      </c>
      <c r="U127" s="62" t="s">
        <v>392</v>
      </c>
      <c r="V127" s="63">
        <f>H127+T127</f>
        <v>1344000000</v>
      </c>
      <c r="W127" s="63">
        <v>100</v>
      </c>
      <c r="X127" s="64">
        <f t="shared" si="40"/>
        <v>89.600000000000009</v>
      </c>
      <c r="Y127" s="80"/>
    </row>
    <row r="128" spans="1:25" s="1" customFormat="1" ht="60.75" customHeight="1" x14ac:dyDescent="0.3">
      <c r="A128" s="68"/>
      <c r="B128" s="75"/>
      <c r="C128" s="76" t="s">
        <v>144</v>
      </c>
      <c r="D128" s="233" t="s">
        <v>233</v>
      </c>
      <c r="E128" s="234" t="s">
        <v>252</v>
      </c>
      <c r="F128" s="344">
        <v>900000000</v>
      </c>
      <c r="G128" s="352" t="s">
        <v>252</v>
      </c>
      <c r="H128" s="346">
        <v>504000000</v>
      </c>
      <c r="I128" s="142" t="str">
        <f t="shared" si="37"/>
        <v>12 bulan</v>
      </c>
      <c r="J128" s="208">
        <v>168000000</v>
      </c>
      <c r="K128" s="61" t="s">
        <v>291</v>
      </c>
      <c r="L128" s="119">
        <v>42000000</v>
      </c>
      <c r="M128" s="61" t="s">
        <v>291</v>
      </c>
      <c r="N128" s="119">
        <v>42000000</v>
      </c>
      <c r="O128" s="61" t="s">
        <v>291</v>
      </c>
      <c r="P128" s="388">
        <v>42000000</v>
      </c>
      <c r="Q128" s="61" t="s">
        <v>291</v>
      </c>
      <c r="R128" s="119">
        <v>42000000</v>
      </c>
      <c r="S128" s="61" t="s">
        <v>291</v>
      </c>
      <c r="T128" s="121">
        <f>L128+N128+P128+R128</f>
        <v>168000000</v>
      </c>
      <c r="U128" s="61" t="s">
        <v>393</v>
      </c>
      <c r="V128" s="63">
        <f>H128+T128</f>
        <v>672000000</v>
      </c>
      <c r="W128" s="63">
        <v>100</v>
      </c>
      <c r="X128" s="64">
        <f t="shared" si="40"/>
        <v>74.666666666666671</v>
      </c>
      <c r="Y128" s="80"/>
    </row>
    <row r="129" spans="1:25" s="1" customFormat="1" ht="61.5" customHeight="1" x14ac:dyDescent="0.3">
      <c r="A129" s="68"/>
      <c r="B129" s="75"/>
      <c r="C129" s="76" t="s">
        <v>145</v>
      </c>
      <c r="D129" s="204" t="s">
        <v>234</v>
      </c>
      <c r="E129" s="216" t="s">
        <v>253</v>
      </c>
      <c r="F129" s="344">
        <v>2565000000</v>
      </c>
      <c r="G129" s="349" t="s">
        <v>253</v>
      </c>
      <c r="H129" s="346">
        <v>10802913261</v>
      </c>
      <c r="I129" s="142" t="str">
        <f t="shared" si="37"/>
        <v>50.000 Orang</v>
      </c>
      <c r="J129" s="208">
        <v>5059925400</v>
      </c>
      <c r="K129" s="87" t="s">
        <v>436</v>
      </c>
      <c r="L129" s="119">
        <v>1514129000</v>
      </c>
      <c r="M129" s="87" t="s">
        <v>437</v>
      </c>
      <c r="N129" s="119">
        <v>1112047500</v>
      </c>
      <c r="O129" s="387" t="s">
        <v>558</v>
      </c>
      <c r="P129" s="388">
        <v>1143830800</v>
      </c>
      <c r="Q129" s="87" t="s">
        <v>580</v>
      </c>
      <c r="R129" s="119">
        <v>1265157000</v>
      </c>
      <c r="S129" s="87" t="s">
        <v>581</v>
      </c>
      <c r="T129" s="128">
        <f>L129+N129+P129+R129</f>
        <v>5035164300</v>
      </c>
      <c r="U129" s="67" t="str">
        <f>S129</f>
        <v>105140 orang</v>
      </c>
      <c r="V129" s="63">
        <f>H129+T129</f>
        <v>15838077561</v>
      </c>
      <c r="W129" s="63" t="s">
        <v>310</v>
      </c>
      <c r="X129" s="64">
        <f t="shared" si="40"/>
        <v>617.46891076023394</v>
      </c>
      <c r="Y129" s="80"/>
    </row>
    <row r="130" spans="1:25" s="1" customFormat="1" ht="12" customHeight="1" x14ac:dyDescent="0.3">
      <c r="A130" s="65"/>
      <c r="B130" s="81"/>
      <c r="C130" s="76"/>
      <c r="D130" s="76"/>
      <c r="E130" s="13"/>
      <c r="F130" s="326"/>
      <c r="G130" s="326"/>
      <c r="H130" s="326"/>
      <c r="I130" s="54"/>
      <c r="J130" s="54"/>
      <c r="K130" s="54"/>
      <c r="L130" s="54"/>
      <c r="M130" s="54"/>
      <c r="N130" s="54"/>
      <c r="O130" s="54"/>
      <c r="P130" s="54"/>
      <c r="Q130" s="54"/>
      <c r="R130" s="54"/>
      <c r="S130" s="61">
        <f t="shared" ref="S130" si="42">K130</f>
        <v>0</v>
      </c>
      <c r="T130" s="61">
        <f t="shared" ref="T130" si="43">L130</f>
        <v>0</v>
      </c>
      <c r="U130" s="62">
        <f t="shared" ref="U130" si="44">G130+S130*100%</f>
        <v>0</v>
      </c>
      <c r="V130" s="63">
        <f t="shared" ref="V130" si="45">H130+T130</f>
        <v>0</v>
      </c>
      <c r="W130" s="61" t="e">
        <f>(U130/E130)*100</f>
        <v>#DIV/0!</v>
      </c>
      <c r="X130" s="138" t="e">
        <f>SUM(V130/F130)*100</f>
        <v>#DIV/0!</v>
      </c>
      <c r="Y130" s="80"/>
    </row>
    <row r="131" spans="1:25" ht="77.25" customHeight="1" x14ac:dyDescent="0.35">
      <c r="A131" s="94">
        <v>8</v>
      </c>
      <c r="B131" s="79"/>
      <c r="C131" s="235" t="s">
        <v>146</v>
      </c>
      <c r="D131" s="236" t="s">
        <v>254</v>
      </c>
      <c r="E131" s="161">
        <v>0.95</v>
      </c>
      <c r="F131" s="353">
        <v>1481471140</v>
      </c>
      <c r="G131" s="319">
        <v>0</v>
      </c>
      <c r="H131" s="343">
        <f>H132+H137+H141</f>
        <v>766131268</v>
      </c>
      <c r="I131" s="237">
        <f>E131</f>
        <v>0.95</v>
      </c>
      <c r="J131" s="133">
        <f>J132+J137+J141</f>
        <v>462572359</v>
      </c>
      <c r="K131" s="294">
        <v>0.45</v>
      </c>
      <c r="L131" s="106">
        <f>L132+L137+L141</f>
        <v>209189858</v>
      </c>
      <c r="M131" s="294">
        <v>0.12</v>
      </c>
      <c r="N131" s="106">
        <f>N132+N137+N141</f>
        <v>58955760</v>
      </c>
      <c r="O131" s="161">
        <v>9.1999999999999998E-2</v>
      </c>
      <c r="P131" s="109">
        <f>P132+P137+P141</f>
        <v>42829996</v>
      </c>
      <c r="Q131" s="161">
        <v>0.32600000000000001</v>
      </c>
      <c r="R131" s="109">
        <f>R132+R137+R141</f>
        <v>150907199</v>
      </c>
      <c r="S131" s="161">
        <f>K131+M131+O131+Q131</f>
        <v>0.98799999999999999</v>
      </c>
      <c r="T131" s="304">
        <f>R131+P131+N131+L131</f>
        <v>461882813</v>
      </c>
      <c r="U131" s="161">
        <f>S131</f>
        <v>0.98799999999999999</v>
      </c>
      <c r="V131" s="305">
        <f>T131+H131</f>
        <v>1228014081</v>
      </c>
      <c r="W131" s="114"/>
      <c r="X131" s="298"/>
      <c r="Y131" s="100" t="s">
        <v>34</v>
      </c>
    </row>
    <row r="132" spans="1:25" ht="58.5" customHeight="1" x14ac:dyDescent="0.35">
      <c r="A132" s="77"/>
      <c r="B132" s="79"/>
      <c r="C132" s="238" t="s">
        <v>147</v>
      </c>
      <c r="D132" s="239" t="s">
        <v>255</v>
      </c>
      <c r="E132" s="240" t="s">
        <v>53</v>
      </c>
      <c r="F132" s="486">
        <v>862950800</v>
      </c>
      <c r="G132" s="347">
        <v>0</v>
      </c>
      <c r="H132" s="485">
        <v>471890759</v>
      </c>
      <c r="I132" s="62" t="str">
        <f>E132</f>
        <v>2 Dokumen</v>
      </c>
      <c r="J132" s="455">
        <v>202000350</v>
      </c>
      <c r="K132" s="87">
        <v>0</v>
      </c>
      <c r="L132" s="488">
        <v>154434858</v>
      </c>
      <c r="M132" s="87" t="s">
        <v>41</v>
      </c>
      <c r="N132" s="488">
        <v>14745760</v>
      </c>
      <c r="O132" s="87" t="s">
        <v>43</v>
      </c>
      <c r="P132" s="529">
        <v>616598</v>
      </c>
      <c r="Q132" s="117"/>
      <c r="R132" s="488">
        <v>31716986</v>
      </c>
      <c r="S132" s="78">
        <v>0</v>
      </c>
      <c r="T132" s="492">
        <f>L132+N132+P132+R132</f>
        <v>201514202</v>
      </c>
      <c r="U132" s="78">
        <v>0</v>
      </c>
      <c r="V132" s="455">
        <f>H132+T132</f>
        <v>673404961</v>
      </c>
      <c r="W132" s="78">
        <v>0</v>
      </c>
      <c r="X132" s="499">
        <f>(V132/F132)*100</f>
        <v>78.035151134919857</v>
      </c>
      <c r="Y132" s="78"/>
    </row>
    <row r="133" spans="1:25" ht="49.5" customHeight="1" x14ac:dyDescent="0.35">
      <c r="A133" s="77"/>
      <c r="B133" s="79"/>
      <c r="C133" s="238"/>
      <c r="D133" s="239" t="s">
        <v>256</v>
      </c>
      <c r="E133" s="240" t="s">
        <v>42</v>
      </c>
      <c r="F133" s="486"/>
      <c r="G133" s="354" t="s">
        <v>53</v>
      </c>
      <c r="H133" s="486"/>
      <c r="I133" s="62" t="str">
        <f t="shared" ref="I133:I140" si="46">E133</f>
        <v>4 Dokumen</v>
      </c>
      <c r="J133" s="491"/>
      <c r="K133" s="87" t="s">
        <v>53</v>
      </c>
      <c r="L133" s="489"/>
      <c r="M133" s="87">
        <v>0</v>
      </c>
      <c r="N133" s="489"/>
      <c r="O133" s="87" t="s">
        <v>41</v>
      </c>
      <c r="P133" s="530"/>
      <c r="Q133" s="117"/>
      <c r="R133" s="489"/>
      <c r="S133" s="78">
        <v>3</v>
      </c>
      <c r="T133" s="498"/>
      <c r="U133" s="78">
        <f>S133</f>
        <v>3</v>
      </c>
      <c r="V133" s="491"/>
      <c r="W133" s="114">
        <f>(2/4)*100</f>
        <v>50</v>
      </c>
      <c r="X133" s="516"/>
      <c r="Y133" s="78"/>
    </row>
    <row r="134" spans="1:25" ht="39" customHeight="1" x14ac:dyDescent="0.35">
      <c r="A134" s="77"/>
      <c r="B134" s="79"/>
      <c r="C134" s="238"/>
      <c r="D134" s="239" t="s">
        <v>257</v>
      </c>
      <c r="E134" s="240" t="s">
        <v>43</v>
      </c>
      <c r="F134" s="486"/>
      <c r="G134" s="347">
        <v>0</v>
      </c>
      <c r="H134" s="486"/>
      <c r="I134" s="62" t="str">
        <f t="shared" si="46"/>
        <v>1 Dokumen</v>
      </c>
      <c r="J134" s="491"/>
      <c r="K134" s="87">
        <v>0</v>
      </c>
      <c r="L134" s="489"/>
      <c r="M134" s="87">
        <v>0</v>
      </c>
      <c r="N134" s="489"/>
      <c r="O134" s="87"/>
      <c r="P134" s="530"/>
      <c r="Q134" s="117"/>
      <c r="R134" s="489"/>
      <c r="S134" s="78">
        <v>0</v>
      </c>
      <c r="T134" s="498"/>
      <c r="U134" s="78">
        <v>0</v>
      </c>
      <c r="V134" s="491"/>
      <c r="W134" s="114">
        <v>0</v>
      </c>
      <c r="X134" s="516"/>
      <c r="Y134" s="78"/>
    </row>
    <row r="135" spans="1:25" ht="49.5" customHeight="1" x14ac:dyDescent="0.35">
      <c r="A135" s="77"/>
      <c r="B135" s="79"/>
      <c r="C135" s="238"/>
      <c r="D135" s="242" t="s">
        <v>258</v>
      </c>
      <c r="E135" s="240" t="s">
        <v>43</v>
      </c>
      <c r="F135" s="486"/>
      <c r="G135" s="347">
        <v>0</v>
      </c>
      <c r="H135" s="486"/>
      <c r="I135" s="62" t="str">
        <f t="shared" si="46"/>
        <v>1 Dokumen</v>
      </c>
      <c r="J135" s="491"/>
      <c r="K135" s="87">
        <v>0</v>
      </c>
      <c r="L135" s="489"/>
      <c r="M135" s="87">
        <v>0</v>
      </c>
      <c r="N135" s="489"/>
      <c r="O135" s="87"/>
      <c r="P135" s="530"/>
      <c r="Q135" s="117"/>
      <c r="R135" s="489"/>
      <c r="S135" s="78">
        <v>0</v>
      </c>
      <c r="T135" s="498"/>
      <c r="U135" s="78">
        <v>0</v>
      </c>
      <c r="V135" s="491"/>
      <c r="W135" s="114">
        <v>0</v>
      </c>
      <c r="X135" s="516"/>
      <c r="Y135" s="78"/>
    </row>
    <row r="136" spans="1:25" ht="39" customHeight="1" x14ac:dyDescent="0.35">
      <c r="A136" s="77"/>
      <c r="B136" s="79"/>
      <c r="C136" s="238"/>
      <c r="D136" s="239" t="s">
        <v>259</v>
      </c>
      <c r="E136" s="286" t="s">
        <v>43</v>
      </c>
      <c r="F136" s="487"/>
      <c r="G136" s="354" t="s">
        <v>43</v>
      </c>
      <c r="H136" s="487"/>
      <c r="I136" s="62" t="str">
        <f t="shared" si="46"/>
        <v>1 Dokumen</v>
      </c>
      <c r="J136" s="456"/>
      <c r="K136" s="142" t="str">
        <f>I136</f>
        <v>1 Dokumen</v>
      </c>
      <c r="L136" s="490"/>
      <c r="M136" s="142"/>
      <c r="N136" s="490"/>
      <c r="O136" s="142"/>
      <c r="P136" s="531"/>
      <c r="Q136" s="117"/>
      <c r="R136" s="490"/>
      <c r="S136" s="230" t="str">
        <f>K136</f>
        <v>1 Dokumen</v>
      </c>
      <c r="T136" s="493"/>
      <c r="U136" s="230" t="str">
        <f>S136</f>
        <v>1 Dokumen</v>
      </c>
      <c r="V136" s="456"/>
      <c r="W136" s="114">
        <f>(1/1)*100</f>
        <v>100</v>
      </c>
      <c r="X136" s="500"/>
      <c r="Y136" s="78"/>
    </row>
    <row r="137" spans="1:25" ht="75.75" customHeight="1" x14ac:dyDescent="0.35">
      <c r="A137" s="77"/>
      <c r="B137" s="79"/>
      <c r="C137" s="238" t="s">
        <v>148</v>
      </c>
      <c r="D137" s="243" t="s">
        <v>260</v>
      </c>
      <c r="E137" s="285" t="s">
        <v>43</v>
      </c>
      <c r="F137" s="486">
        <v>397858340</v>
      </c>
      <c r="G137" s="355" t="s">
        <v>43</v>
      </c>
      <c r="H137" s="485">
        <v>195201009</v>
      </c>
      <c r="I137" s="241" t="str">
        <f t="shared" si="46"/>
        <v>1 Dokumen</v>
      </c>
      <c r="J137" s="455">
        <v>260572009</v>
      </c>
      <c r="K137" s="241" t="str">
        <f>I137</f>
        <v>1 Dokumen</v>
      </c>
      <c r="L137" s="488">
        <v>54755000</v>
      </c>
      <c r="M137" s="78">
        <v>0</v>
      </c>
      <c r="N137" s="488">
        <v>44210000</v>
      </c>
      <c r="O137" s="78"/>
      <c r="P137" s="489">
        <v>42213398</v>
      </c>
      <c r="Q137" s="241"/>
      <c r="R137" s="488">
        <v>119190213</v>
      </c>
      <c r="S137" s="230" t="str">
        <f>K137</f>
        <v>1 Dokumen</v>
      </c>
      <c r="T137" s="492">
        <f>N137+L137+P137+R137</f>
        <v>260368611</v>
      </c>
      <c r="U137" s="230" t="str">
        <f>S137</f>
        <v>1 Dokumen</v>
      </c>
      <c r="V137" s="455">
        <f>H137+T137</f>
        <v>455569620</v>
      </c>
      <c r="W137" s="114">
        <f>(1/1)*100</f>
        <v>100</v>
      </c>
      <c r="X137" s="499">
        <f>(V137/F137)*100</f>
        <v>114.50548454005012</v>
      </c>
      <c r="Y137" s="78"/>
    </row>
    <row r="138" spans="1:25" ht="36.75" customHeight="1" x14ac:dyDescent="0.35">
      <c r="A138" s="77"/>
      <c r="B138" s="79"/>
      <c r="C138" s="238"/>
      <c r="D138" s="243" t="s">
        <v>33</v>
      </c>
      <c r="E138" s="244" t="s">
        <v>43</v>
      </c>
      <c r="F138" s="486"/>
      <c r="G138" s="355" t="s">
        <v>43</v>
      </c>
      <c r="H138" s="486"/>
      <c r="I138" s="241" t="str">
        <f t="shared" si="46"/>
        <v>1 Dokumen</v>
      </c>
      <c r="J138" s="491"/>
      <c r="K138" s="78" t="s">
        <v>41</v>
      </c>
      <c r="L138" s="489"/>
      <c r="M138" s="241">
        <v>0</v>
      </c>
      <c r="N138" s="489"/>
      <c r="O138" s="241"/>
      <c r="P138" s="489"/>
      <c r="Q138" s="241"/>
      <c r="R138" s="489"/>
      <c r="S138" s="78" t="s">
        <v>41</v>
      </c>
      <c r="T138" s="498"/>
      <c r="U138" s="78" t="s">
        <v>41</v>
      </c>
      <c r="V138" s="491"/>
      <c r="W138" s="114">
        <v>0</v>
      </c>
      <c r="X138" s="516"/>
      <c r="Y138" s="78"/>
    </row>
    <row r="139" spans="1:25" ht="39" customHeight="1" x14ac:dyDescent="0.35">
      <c r="A139" s="77"/>
      <c r="B139" s="79"/>
      <c r="C139" s="238"/>
      <c r="D139" s="243" t="s">
        <v>261</v>
      </c>
      <c r="E139" s="244" t="s">
        <v>43</v>
      </c>
      <c r="F139" s="486"/>
      <c r="G139" s="355" t="s">
        <v>43</v>
      </c>
      <c r="H139" s="486"/>
      <c r="I139" s="241" t="s">
        <v>39</v>
      </c>
      <c r="J139" s="491"/>
      <c r="K139" s="230" t="s">
        <v>41</v>
      </c>
      <c r="L139" s="489"/>
      <c r="M139" s="78">
        <v>1</v>
      </c>
      <c r="N139" s="489"/>
      <c r="O139" s="78"/>
      <c r="P139" s="489"/>
      <c r="Q139" s="241"/>
      <c r="R139" s="489"/>
      <c r="S139" s="230" t="str">
        <f>K139</f>
        <v>1 dokumen</v>
      </c>
      <c r="T139" s="498"/>
      <c r="U139" s="230" t="str">
        <f t="shared" ref="U139:U140" si="47">S139</f>
        <v>1 dokumen</v>
      </c>
      <c r="V139" s="491"/>
      <c r="W139" s="114">
        <f>(1/1)*100</f>
        <v>100</v>
      </c>
      <c r="X139" s="516"/>
      <c r="Y139" s="78"/>
    </row>
    <row r="140" spans="1:25" ht="48" customHeight="1" x14ac:dyDescent="0.35">
      <c r="A140" s="77"/>
      <c r="B140" s="79"/>
      <c r="C140" s="238"/>
      <c r="D140" s="243" t="s">
        <v>262</v>
      </c>
      <c r="E140" s="198" t="s">
        <v>43</v>
      </c>
      <c r="F140" s="486"/>
      <c r="G140" s="356" t="s">
        <v>43</v>
      </c>
      <c r="H140" s="487"/>
      <c r="I140" s="241" t="str">
        <f t="shared" si="46"/>
        <v>1 Dokumen</v>
      </c>
      <c r="J140" s="491"/>
      <c r="K140" s="230" t="s">
        <v>41</v>
      </c>
      <c r="L140" s="490"/>
      <c r="M140" s="78">
        <v>0</v>
      </c>
      <c r="N140" s="490"/>
      <c r="O140" s="78"/>
      <c r="P140" s="489"/>
      <c r="Q140" s="241"/>
      <c r="R140" s="490"/>
      <c r="S140" s="230" t="str">
        <f>K140</f>
        <v>1 dokumen</v>
      </c>
      <c r="T140" s="493"/>
      <c r="U140" s="230" t="str">
        <f t="shared" si="47"/>
        <v>1 dokumen</v>
      </c>
      <c r="V140" s="456"/>
      <c r="W140" s="114">
        <f>(1/1)*100</f>
        <v>100</v>
      </c>
      <c r="X140" s="500"/>
      <c r="Y140" s="78"/>
    </row>
    <row r="141" spans="1:25" ht="42.75" customHeight="1" thickBot="1" x14ac:dyDescent="0.4">
      <c r="A141" s="77"/>
      <c r="B141" s="79"/>
      <c r="C141" s="238" t="s">
        <v>149</v>
      </c>
      <c r="D141" s="181" t="s">
        <v>263</v>
      </c>
      <c r="E141" s="284" t="s">
        <v>266</v>
      </c>
      <c r="F141" s="357">
        <v>220661000</v>
      </c>
      <c r="G141" s="358" t="s">
        <v>356</v>
      </c>
      <c r="H141" s="346">
        <v>99039500</v>
      </c>
      <c r="I141" s="245" t="s">
        <v>484</v>
      </c>
      <c r="J141" s="116"/>
      <c r="K141" s="224" t="s">
        <v>41</v>
      </c>
      <c r="L141" s="405"/>
      <c r="M141" s="224" t="s">
        <v>41</v>
      </c>
      <c r="N141" s="382"/>
      <c r="O141" s="170"/>
      <c r="P141" s="383"/>
      <c r="Q141" s="246"/>
      <c r="R141" s="246"/>
      <c r="S141" s="224" t="s">
        <v>403</v>
      </c>
      <c r="T141" s="396">
        <f>N141+P141+R141</f>
        <v>0</v>
      </c>
      <c r="U141" s="306" t="s">
        <v>394</v>
      </c>
      <c r="V141" s="303">
        <f>H141+T141</f>
        <v>99039500</v>
      </c>
      <c r="W141" s="306" t="str">
        <f>U141</f>
        <v>6 laporan</v>
      </c>
      <c r="X141" s="298">
        <f>X137</f>
        <v>114.50548454005012</v>
      </c>
      <c r="Y141" s="78"/>
    </row>
    <row r="142" spans="1:25" s="1" customFormat="1" ht="12" customHeight="1" x14ac:dyDescent="0.3">
      <c r="A142" s="95"/>
      <c r="B142" s="96"/>
      <c r="C142" s="70"/>
      <c r="D142" s="70"/>
      <c r="E142" s="60"/>
      <c r="F142" s="360"/>
      <c r="G142" s="360"/>
      <c r="H142" s="361"/>
      <c r="I142" s="60"/>
      <c r="J142" s="60"/>
      <c r="K142" s="54"/>
      <c r="L142" s="54"/>
      <c r="M142" s="54"/>
      <c r="N142" s="54"/>
      <c r="O142" s="54"/>
      <c r="P142" s="54"/>
      <c r="Q142" s="54"/>
      <c r="R142" s="54"/>
      <c r="S142" s="61">
        <f>K142</f>
        <v>0</v>
      </c>
      <c r="T142" s="61">
        <f>L142</f>
        <v>0</v>
      </c>
      <c r="U142" s="62">
        <f>G142+S142*100%</f>
        <v>0</v>
      </c>
      <c r="V142" s="63">
        <f>H142+T142</f>
        <v>0</v>
      </c>
      <c r="W142" s="61" t="e">
        <f>(U142/E142)*100</f>
        <v>#DIV/0!</v>
      </c>
      <c r="X142" s="138" t="e">
        <f>SUM(V142/F142)*100</f>
        <v>#DIV/0!</v>
      </c>
      <c r="Y142" s="87"/>
    </row>
    <row r="143" spans="1:25" s="1" customFormat="1" ht="84" customHeight="1" x14ac:dyDescent="0.3">
      <c r="A143" s="91">
        <v>9</v>
      </c>
      <c r="B143" s="75"/>
      <c r="C143" s="139" t="s">
        <v>150</v>
      </c>
      <c r="D143" s="249" t="s">
        <v>269</v>
      </c>
      <c r="E143" s="250" t="s">
        <v>277</v>
      </c>
      <c r="F143" s="476">
        <f>F152+F153+F154</f>
        <v>3870750000</v>
      </c>
      <c r="G143" s="377">
        <v>0</v>
      </c>
      <c r="H143" s="476">
        <f>H152+H153+H154</f>
        <v>2489964052</v>
      </c>
      <c r="I143" s="140" t="str">
        <f>E143</f>
        <v>47 Perangkat Daerah</v>
      </c>
      <c r="J143" s="503">
        <f>J152+J153+J154</f>
        <v>731931000</v>
      </c>
      <c r="K143" s="250" t="s">
        <v>277</v>
      </c>
      <c r="L143" s="479">
        <f>L152+L153+L154</f>
        <v>165380840</v>
      </c>
      <c r="M143" s="164"/>
      <c r="N143" s="482">
        <f>N152+N153+N154</f>
        <v>16842079</v>
      </c>
      <c r="O143" s="218"/>
      <c r="P143" s="482">
        <f>P152+P153+P154</f>
        <v>83382704</v>
      </c>
      <c r="Q143" s="218"/>
      <c r="R143" s="482">
        <f>R152+R153+R154</f>
        <v>346768101</v>
      </c>
      <c r="S143" s="105" t="str">
        <f t="shared" ref="S143:S151" si="48">K143</f>
        <v>47 Perangkat Daerah</v>
      </c>
      <c r="T143" s="596">
        <f>R143+P143+N143+L143</f>
        <v>612373724</v>
      </c>
      <c r="U143" s="173" t="str">
        <f>S143</f>
        <v>47 Perangkat Daerah</v>
      </c>
      <c r="V143" s="520">
        <f>H143+T143</f>
        <v>3102337776</v>
      </c>
      <c r="W143" s="218">
        <f>(V143/F143)*100</f>
        <v>80.148234218174778</v>
      </c>
      <c r="X143" s="517">
        <f>V143/F143*100</f>
        <v>80.148234218174778</v>
      </c>
      <c r="Y143" s="100" t="s">
        <v>36</v>
      </c>
    </row>
    <row r="144" spans="1:25" s="1" customFormat="1" ht="72" customHeight="1" x14ac:dyDescent="0.3">
      <c r="A144" s="68"/>
      <c r="B144" s="75"/>
      <c r="C144" s="139"/>
      <c r="D144" s="251" t="s">
        <v>270</v>
      </c>
      <c r="E144" s="252" t="s">
        <v>277</v>
      </c>
      <c r="F144" s="477"/>
      <c r="G144" s="319">
        <v>0</v>
      </c>
      <c r="H144" s="477"/>
      <c r="I144" s="140" t="str">
        <f t="shared" ref="I144:I151" si="49">E144</f>
        <v>47 Perangkat Daerah</v>
      </c>
      <c r="J144" s="504"/>
      <c r="K144" s="250" t="s">
        <v>277</v>
      </c>
      <c r="L144" s="480"/>
      <c r="M144" s="164"/>
      <c r="N144" s="483"/>
      <c r="O144" s="105"/>
      <c r="P144" s="483"/>
      <c r="Q144" s="105"/>
      <c r="R144" s="483"/>
      <c r="S144" s="105" t="str">
        <f t="shared" si="48"/>
        <v>47 Perangkat Daerah</v>
      </c>
      <c r="T144" s="597"/>
      <c r="U144" s="105" t="str">
        <f t="shared" ref="U144" si="50">S144</f>
        <v>47 Perangkat Daerah</v>
      </c>
      <c r="V144" s="521"/>
      <c r="W144" s="217" t="s">
        <v>98</v>
      </c>
      <c r="X144" s="518"/>
      <c r="Y144" s="78"/>
    </row>
    <row r="145" spans="1:25" s="1" customFormat="1" ht="61.5" customHeight="1" x14ac:dyDescent="0.3">
      <c r="A145" s="68"/>
      <c r="B145" s="75"/>
      <c r="C145" s="139"/>
      <c r="D145" s="251" t="s">
        <v>35</v>
      </c>
      <c r="E145" s="253">
        <v>1</v>
      </c>
      <c r="F145" s="477"/>
      <c r="G145" s="319">
        <v>0</v>
      </c>
      <c r="H145" s="477"/>
      <c r="I145" s="140">
        <f t="shared" si="49"/>
        <v>1</v>
      </c>
      <c r="J145" s="504"/>
      <c r="K145" s="164">
        <f t="shared" ref="K145:K150" si="51">L145</f>
        <v>0</v>
      </c>
      <c r="L145" s="480"/>
      <c r="M145" s="164"/>
      <c r="N145" s="483"/>
      <c r="O145" s="105"/>
      <c r="P145" s="483"/>
      <c r="Q145" s="105"/>
      <c r="R145" s="483"/>
      <c r="S145" s="105">
        <f t="shared" si="48"/>
        <v>0</v>
      </c>
      <c r="T145" s="597"/>
      <c r="U145" s="164">
        <f>S145</f>
        <v>0</v>
      </c>
      <c r="V145" s="521"/>
      <c r="W145" s="217" t="s">
        <v>98</v>
      </c>
      <c r="X145" s="518"/>
      <c r="Y145" s="78"/>
    </row>
    <row r="146" spans="1:25" s="1" customFormat="1" ht="84.75" customHeight="1" x14ac:dyDescent="0.3">
      <c r="A146" s="68"/>
      <c r="B146" s="75"/>
      <c r="C146" s="139"/>
      <c r="D146" s="251" t="s">
        <v>271</v>
      </c>
      <c r="E146" s="254" t="s">
        <v>50</v>
      </c>
      <c r="F146" s="477"/>
      <c r="G146" s="319">
        <v>0</v>
      </c>
      <c r="H146" s="477"/>
      <c r="I146" s="140" t="str">
        <f t="shared" si="49"/>
        <v>60 Unit Pelayanan</v>
      </c>
      <c r="J146" s="504"/>
      <c r="K146" s="254" t="s">
        <v>370</v>
      </c>
      <c r="L146" s="480"/>
      <c r="M146" s="164"/>
      <c r="N146" s="483"/>
      <c r="O146" s="105"/>
      <c r="P146" s="483"/>
      <c r="Q146" s="105"/>
      <c r="R146" s="483"/>
      <c r="S146" s="105" t="str">
        <f t="shared" si="48"/>
        <v>103 Unit Pelayanan</v>
      </c>
      <c r="T146" s="597"/>
      <c r="U146" s="164" t="str">
        <f t="shared" ref="U146:U154" si="52">S146</f>
        <v>103 Unit Pelayanan</v>
      </c>
      <c r="V146" s="521"/>
      <c r="W146" s="217" t="s">
        <v>98</v>
      </c>
      <c r="X146" s="518"/>
      <c r="Y146" s="78"/>
    </row>
    <row r="147" spans="1:25" s="1" customFormat="1" ht="65.25" customHeight="1" x14ac:dyDescent="0.3">
      <c r="A147" s="68"/>
      <c r="B147" s="75"/>
      <c r="C147" s="139"/>
      <c r="D147" s="251" t="s">
        <v>272</v>
      </c>
      <c r="E147" s="253">
        <v>1</v>
      </c>
      <c r="F147" s="477"/>
      <c r="G147" s="319">
        <v>0</v>
      </c>
      <c r="H147" s="477"/>
      <c r="I147" s="140">
        <f t="shared" si="49"/>
        <v>1</v>
      </c>
      <c r="J147" s="504"/>
      <c r="K147" s="253">
        <v>1</v>
      </c>
      <c r="L147" s="480"/>
      <c r="M147" s="140"/>
      <c r="N147" s="483"/>
      <c r="O147" s="140"/>
      <c r="P147" s="483"/>
      <c r="Q147" s="140"/>
      <c r="R147" s="483"/>
      <c r="S147" s="140" t="s">
        <v>315</v>
      </c>
      <c r="T147" s="597"/>
      <c r="U147" s="164" t="str">
        <f t="shared" si="52"/>
        <v>98.15%</v>
      </c>
      <c r="V147" s="521"/>
      <c r="W147" s="217" t="s">
        <v>98</v>
      </c>
      <c r="X147" s="518"/>
      <c r="Y147" s="306"/>
    </row>
    <row r="148" spans="1:25" s="1" customFormat="1" ht="95.25" customHeight="1" x14ac:dyDescent="0.3">
      <c r="A148" s="68"/>
      <c r="B148" s="75"/>
      <c r="C148" s="139"/>
      <c r="D148" s="251" t="s">
        <v>273</v>
      </c>
      <c r="E148" s="255" t="s">
        <v>278</v>
      </c>
      <c r="F148" s="477"/>
      <c r="G148" s="319">
        <v>0</v>
      </c>
      <c r="H148" s="477"/>
      <c r="I148" s="140" t="str">
        <f t="shared" si="49"/>
        <v>80%</v>
      </c>
      <c r="J148" s="504"/>
      <c r="K148" s="164">
        <f t="shared" si="51"/>
        <v>0</v>
      </c>
      <c r="L148" s="480"/>
      <c r="M148" s="164"/>
      <c r="N148" s="483"/>
      <c r="O148" s="105"/>
      <c r="P148" s="483"/>
      <c r="Q148" s="105"/>
      <c r="R148" s="483"/>
      <c r="S148" s="105">
        <f t="shared" si="48"/>
        <v>0</v>
      </c>
      <c r="T148" s="597"/>
      <c r="U148" s="164">
        <f t="shared" si="52"/>
        <v>0</v>
      </c>
      <c r="V148" s="521"/>
      <c r="W148" s="217" t="s">
        <v>98</v>
      </c>
      <c r="X148" s="518"/>
      <c r="Y148" s="78"/>
    </row>
    <row r="149" spans="1:25" s="1" customFormat="1" ht="108.75" customHeight="1" x14ac:dyDescent="0.3">
      <c r="A149" s="68"/>
      <c r="B149" s="75"/>
      <c r="C149" s="139"/>
      <c r="D149" s="251" t="s">
        <v>274</v>
      </c>
      <c r="E149" s="256" t="s">
        <v>279</v>
      </c>
      <c r="F149" s="477"/>
      <c r="G149" s="319">
        <v>0</v>
      </c>
      <c r="H149" s="477"/>
      <c r="I149" s="140" t="str">
        <f t="shared" si="49"/>
        <v>50%</v>
      </c>
      <c r="J149" s="504"/>
      <c r="K149" s="164">
        <f t="shared" si="51"/>
        <v>0</v>
      </c>
      <c r="L149" s="480"/>
      <c r="M149" s="164"/>
      <c r="N149" s="483"/>
      <c r="O149" s="105"/>
      <c r="P149" s="483"/>
      <c r="Q149" s="105"/>
      <c r="R149" s="483"/>
      <c r="S149" s="105">
        <f t="shared" si="48"/>
        <v>0</v>
      </c>
      <c r="T149" s="597"/>
      <c r="U149" s="164">
        <f t="shared" si="52"/>
        <v>0</v>
      </c>
      <c r="V149" s="521"/>
      <c r="W149" s="217" t="s">
        <v>98</v>
      </c>
      <c r="X149" s="518"/>
      <c r="Y149" s="78"/>
    </row>
    <row r="150" spans="1:25" s="1" customFormat="1" ht="75.75" customHeight="1" x14ac:dyDescent="0.3">
      <c r="A150" s="68"/>
      <c r="B150" s="75"/>
      <c r="C150" s="139"/>
      <c r="D150" s="251" t="s">
        <v>275</v>
      </c>
      <c r="E150" s="256" t="s">
        <v>280</v>
      </c>
      <c r="F150" s="477"/>
      <c r="G150" s="319">
        <v>0</v>
      </c>
      <c r="H150" s="477"/>
      <c r="I150" s="140" t="str">
        <f t="shared" si="49"/>
        <v>100%</v>
      </c>
      <c r="J150" s="504"/>
      <c r="K150" s="164">
        <f t="shared" si="51"/>
        <v>0</v>
      </c>
      <c r="L150" s="480"/>
      <c r="M150" s="164"/>
      <c r="N150" s="483"/>
      <c r="O150" s="105"/>
      <c r="P150" s="483"/>
      <c r="Q150" s="105"/>
      <c r="R150" s="483"/>
      <c r="S150" s="105">
        <f t="shared" si="48"/>
        <v>0</v>
      </c>
      <c r="T150" s="597"/>
      <c r="U150" s="164">
        <f t="shared" si="52"/>
        <v>0</v>
      </c>
      <c r="V150" s="521"/>
      <c r="W150" s="217" t="s">
        <v>98</v>
      </c>
      <c r="X150" s="518"/>
      <c r="Y150" s="78"/>
    </row>
    <row r="151" spans="1:25" s="1" customFormat="1" ht="75.75" customHeight="1" x14ac:dyDescent="0.3">
      <c r="A151" s="68"/>
      <c r="B151" s="75"/>
      <c r="C151" s="139"/>
      <c r="D151" s="257" t="s">
        <v>276</v>
      </c>
      <c r="E151" s="258" t="s">
        <v>281</v>
      </c>
      <c r="F151" s="478"/>
      <c r="G151" s="319">
        <v>0</v>
      </c>
      <c r="H151" s="478"/>
      <c r="I151" s="140" t="str">
        <f t="shared" si="49"/>
        <v>1 Inovasi</v>
      </c>
      <c r="J151" s="505"/>
      <c r="K151" s="258" t="s">
        <v>371</v>
      </c>
      <c r="L151" s="481"/>
      <c r="M151" s="164"/>
      <c r="N151" s="484"/>
      <c r="O151" s="105"/>
      <c r="P151" s="484"/>
      <c r="Q151" s="105"/>
      <c r="R151" s="484"/>
      <c r="S151" s="105" t="str">
        <f t="shared" si="48"/>
        <v>14 Inovasi</v>
      </c>
      <c r="T151" s="598"/>
      <c r="U151" s="164" t="str">
        <f t="shared" si="52"/>
        <v>14 Inovasi</v>
      </c>
      <c r="V151" s="522"/>
      <c r="W151" s="217" t="s">
        <v>98</v>
      </c>
      <c r="X151" s="519"/>
      <c r="Y151" s="78"/>
    </row>
    <row r="152" spans="1:25" s="1" customFormat="1" ht="51.75" customHeight="1" x14ac:dyDescent="0.3">
      <c r="A152" s="68"/>
      <c r="B152" s="75"/>
      <c r="C152" s="259" t="s">
        <v>151</v>
      </c>
      <c r="D152" s="260"/>
      <c r="E152" s="261"/>
      <c r="F152" s="436">
        <v>506235750</v>
      </c>
      <c r="G152" s="287"/>
      <c r="H152" s="436">
        <v>415544278</v>
      </c>
      <c r="I152" s="142"/>
      <c r="J152" s="436">
        <v>136500000</v>
      </c>
      <c r="K152" s="142"/>
      <c r="L152" s="435">
        <v>28822000</v>
      </c>
      <c r="M152" s="87"/>
      <c r="N152" s="437">
        <v>9717000</v>
      </c>
      <c r="O152" s="87"/>
      <c r="P152" s="437">
        <v>43204000</v>
      </c>
      <c r="Q152" s="142"/>
      <c r="R152" s="437">
        <v>46243000</v>
      </c>
      <c r="S152" s="61">
        <f>M152</f>
        <v>0</v>
      </c>
      <c r="T152" s="437">
        <f>L152+N152+P152+R152</f>
        <v>127986000</v>
      </c>
      <c r="U152" s="87">
        <f t="shared" si="52"/>
        <v>0</v>
      </c>
      <c r="V152" s="439">
        <f>J152+T152</f>
        <v>264486000</v>
      </c>
      <c r="W152" s="308">
        <v>0.24</v>
      </c>
      <c r="X152" s="437">
        <f>(V152/F152)*100</f>
        <v>52.245618765565247</v>
      </c>
      <c r="Y152" s="78"/>
    </row>
    <row r="153" spans="1:25" s="1" customFormat="1" ht="39.75" customHeight="1" x14ac:dyDescent="0.3">
      <c r="A153" s="68"/>
      <c r="B153" s="75"/>
      <c r="C153" s="76" t="s">
        <v>152</v>
      </c>
      <c r="D153" s="443"/>
      <c r="E153" s="287"/>
      <c r="F153" s="436">
        <v>912750000</v>
      </c>
      <c r="G153" s="80"/>
      <c r="H153" s="436">
        <v>856412397</v>
      </c>
      <c r="I153" s="142"/>
      <c r="J153" s="436">
        <v>164385000</v>
      </c>
      <c r="K153" s="262"/>
      <c r="L153" s="435">
        <v>7400000</v>
      </c>
      <c r="M153" s="262"/>
      <c r="N153" s="437">
        <v>4125079</v>
      </c>
      <c r="O153" s="262"/>
      <c r="P153" s="437">
        <v>27093704</v>
      </c>
      <c r="Q153" s="262"/>
      <c r="R153" s="437">
        <v>23647361</v>
      </c>
      <c r="S153" s="61">
        <f>K153</f>
        <v>0</v>
      </c>
      <c r="T153" s="437">
        <f>L153+N153+P153+R153</f>
        <v>62266144</v>
      </c>
      <c r="U153" s="87">
        <f t="shared" si="52"/>
        <v>0</v>
      </c>
      <c r="V153" s="439">
        <f>J153+T153</f>
        <v>226651144</v>
      </c>
      <c r="W153" s="308">
        <v>0.11</v>
      </c>
      <c r="X153" s="437">
        <f>V153/F153*100</f>
        <v>24.831678334702822</v>
      </c>
      <c r="Y153" s="78" t="s">
        <v>36</v>
      </c>
    </row>
    <row r="154" spans="1:25" s="1" customFormat="1" ht="35.25" customHeight="1" x14ac:dyDescent="0.3">
      <c r="A154" s="68"/>
      <c r="B154" s="75"/>
      <c r="C154" s="76" t="s">
        <v>153</v>
      </c>
      <c r="D154" s="441"/>
      <c r="E154" s="442"/>
      <c r="F154" s="436">
        <v>2451764250</v>
      </c>
      <c r="G154" s="80"/>
      <c r="H154" s="436">
        <v>1218007377</v>
      </c>
      <c r="I154" s="142"/>
      <c r="J154" s="436">
        <v>431046000</v>
      </c>
      <c r="K154" s="87"/>
      <c r="L154" s="435">
        <v>129158840</v>
      </c>
      <c r="M154" s="87"/>
      <c r="N154" s="437">
        <v>3000000</v>
      </c>
      <c r="O154" s="87"/>
      <c r="P154" s="437">
        <v>13085000</v>
      </c>
      <c r="Q154" s="87"/>
      <c r="R154" s="437">
        <v>276877740</v>
      </c>
      <c r="S154" s="61">
        <f t="shared" ref="S154" si="53">K154</f>
        <v>0</v>
      </c>
      <c r="T154" s="437">
        <f>L154+N154+P154+R154</f>
        <v>422121580</v>
      </c>
      <c r="U154" s="87">
        <f t="shared" si="52"/>
        <v>0</v>
      </c>
      <c r="V154" s="439">
        <f>H154+T154</f>
        <v>1640128957</v>
      </c>
      <c r="W154" s="440">
        <v>0.39</v>
      </c>
      <c r="X154" s="61">
        <f t="shared" ref="X154" si="54">V154</f>
        <v>1640128957</v>
      </c>
      <c r="Y154" s="78"/>
    </row>
    <row r="155" spans="1:25" s="1" customFormat="1" ht="8.25" customHeight="1" x14ac:dyDescent="0.3">
      <c r="A155" s="68"/>
      <c r="B155" s="11"/>
      <c r="C155" s="76"/>
      <c r="D155" s="76"/>
      <c r="E155" s="61"/>
      <c r="F155" s="61"/>
      <c r="G155" s="61"/>
      <c r="H155" s="61"/>
      <c r="I155" s="61"/>
      <c r="J155" s="61"/>
      <c r="K155" s="61"/>
      <c r="L155" s="61"/>
      <c r="M155" s="61"/>
      <c r="N155" s="61"/>
      <c r="O155" s="61"/>
      <c r="P155" s="61"/>
      <c r="Q155" s="61"/>
      <c r="R155" s="54"/>
      <c r="S155" s="54">
        <f t="shared" ref="S155" si="55">K155</f>
        <v>0</v>
      </c>
      <c r="T155" s="54">
        <f t="shared" ref="T155" si="56">L155</f>
        <v>0</v>
      </c>
      <c r="U155" s="55">
        <f>G155+S155*100%</f>
        <v>0</v>
      </c>
      <c r="V155" s="56">
        <f t="shared" ref="V155" si="57">H155+T155</f>
        <v>0</v>
      </c>
      <c r="W155" s="54" t="e">
        <f>(U155/E155)*100</f>
        <v>#DIV/0!</v>
      </c>
      <c r="X155" s="57" t="e">
        <f>SUM(V155/F155)*100</f>
        <v>#DIV/0!</v>
      </c>
      <c r="Y155" s="65"/>
    </row>
    <row r="156" spans="1:25" s="1" customFormat="1" ht="113.25" customHeight="1" x14ac:dyDescent="0.3">
      <c r="A156" s="266">
        <v>10</v>
      </c>
      <c r="B156" s="265"/>
      <c r="C156" s="267" t="s">
        <v>154</v>
      </c>
      <c r="D156" s="268" t="s">
        <v>282</v>
      </c>
      <c r="E156" s="269">
        <v>0.85</v>
      </c>
      <c r="F156" s="270">
        <f>F157+F158+F160</f>
        <v>3086814500</v>
      </c>
      <c r="G156" s="146">
        <v>0</v>
      </c>
      <c r="H156" s="111">
        <f>H157+H158+H160</f>
        <v>2589439906</v>
      </c>
      <c r="I156" s="269">
        <v>0.85</v>
      </c>
      <c r="J156" s="271">
        <f>J157+J158+J160</f>
        <v>2056135900</v>
      </c>
      <c r="K156" s="269">
        <v>7.9000000000000001E-2</v>
      </c>
      <c r="L156" s="106">
        <f>L157+L158+L160</f>
        <v>164163500</v>
      </c>
      <c r="M156" s="269">
        <v>0.23</v>
      </c>
      <c r="N156" s="106">
        <f>N157+N158+N160</f>
        <v>488236000</v>
      </c>
      <c r="O156" s="269">
        <v>0.46300000000000002</v>
      </c>
      <c r="P156" s="106">
        <f>P157+P158+P160</f>
        <v>953535000</v>
      </c>
      <c r="Q156" s="269">
        <v>0.20899999999999999</v>
      </c>
      <c r="R156" s="106">
        <f>R157+R158+R160</f>
        <v>430425000</v>
      </c>
      <c r="S156" s="269">
        <f>Q156+O156+M156+K156</f>
        <v>0.98099999999999998</v>
      </c>
      <c r="T156" s="141">
        <f>R156+P156+N156+L156</f>
        <v>2036359500</v>
      </c>
      <c r="U156" s="269">
        <f>S156</f>
        <v>0.98099999999999998</v>
      </c>
      <c r="V156" s="133">
        <f>H156+T156</f>
        <v>4625799406</v>
      </c>
      <c r="W156" s="105"/>
      <c r="X156" s="188">
        <f>(V156/F156)*100</f>
        <v>149.85673437778655</v>
      </c>
      <c r="Y156" s="264" t="s">
        <v>37</v>
      </c>
    </row>
    <row r="157" spans="1:25" s="1" customFormat="1" ht="60" customHeight="1" x14ac:dyDescent="0.3">
      <c r="A157" s="87"/>
      <c r="B157" s="265"/>
      <c r="C157" s="92" t="s">
        <v>155</v>
      </c>
      <c r="D157" s="272" t="s">
        <v>38</v>
      </c>
      <c r="E157" s="273" t="s">
        <v>60</v>
      </c>
      <c r="F157" s="274">
        <v>1420187000</v>
      </c>
      <c r="G157" s="288" t="s">
        <v>296</v>
      </c>
      <c r="H157" s="122">
        <v>1194447959</v>
      </c>
      <c r="I157" s="273" t="s">
        <v>60</v>
      </c>
      <c r="J157" s="63">
        <v>526824000</v>
      </c>
      <c r="K157" s="87" t="s">
        <v>439</v>
      </c>
      <c r="L157" s="119">
        <v>92778000</v>
      </c>
      <c r="M157" s="87" t="s">
        <v>440</v>
      </c>
      <c r="N157" s="119">
        <v>64362000</v>
      </c>
      <c r="O157" s="87" t="s">
        <v>547</v>
      </c>
      <c r="P157" s="119">
        <v>35500000</v>
      </c>
      <c r="Q157" s="87" t="s">
        <v>572</v>
      </c>
      <c r="R157" s="119">
        <v>334349000</v>
      </c>
      <c r="S157" s="87" t="s">
        <v>479</v>
      </c>
      <c r="T157" s="121">
        <f>R157+P157+N157+L157</f>
        <v>526989000</v>
      </c>
      <c r="U157" s="67" t="s">
        <v>483</v>
      </c>
      <c r="V157" s="63">
        <f>H157+T157</f>
        <v>1721436959</v>
      </c>
      <c r="W157" s="61">
        <f>(103/360)*100</f>
        <v>28.611111111111111</v>
      </c>
      <c r="X157" s="64">
        <f>(V157/F157)*100</f>
        <v>121.21199243479907</v>
      </c>
      <c r="Y157" s="80"/>
    </row>
    <row r="158" spans="1:25" s="1" customFormat="1" ht="51" customHeight="1" x14ac:dyDescent="0.3">
      <c r="A158" s="87"/>
      <c r="B158" s="265"/>
      <c r="C158" s="92" t="s">
        <v>156</v>
      </c>
      <c r="D158" s="165" t="s">
        <v>283</v>
      </c>
      <c r="E158" s="166" t="s">
        <v>61</v>
      </c>
      <c r="F158" s="574">
        <v>638050500</v>
      </c>
      <c r="G158" s="288" t="s">
        <v>301</v>
      </c>
      <c r="H158" s="501">
        <v>747271800</v>
      </c>
      <c r="I158" s="166" t="s">
        <v>61</v>
      </c>
      <c r="J158" s="455">
        <v>174550000</v>
      </c>
      <c r="K158" s="87" t="s">
        <v>439</v>
      </c>
      <c r="L158" s="488">
        <v>30080000</v>
      </c>
      <c r="M158" s="87" t="s">
        <v>440</v>
      </c>
      <c r="N158" s="488">
        <v>31148000</v>
      </c>
      <c r="O158" s="87" t="s">
        <v>547</v>
      </c>
      <c r="P158" s="488">
        <v>30080000</v>
      </c>
      <c r="Q158" s="87" t="s">
        <v>572</v>
      </c>
      <c r="R158" s="488">
        <v>82255000</v>
      </c>
      <c r="S158" s="87" t="s">
        <v>480</v>
      </c>
      <c r="T158" s="492">
        <f>R158+P158+N158+L158</f>
        <v>173563000</v>
      </c>
      <c r="U158" s="67" t="s">
        <v>482</v>
      </c>
      <c r="V158" s="455">
        <f>H158+T158</f>
        <v>920834800</v>
      </c>
      <c r="W158" s="61">
        <f>(103/360)*100</f>
        <v>28.611111111111111</v>
      </c>
      <c r="X158" s="499">
        <f>V158/F158*100</f>
        <v>144.32004990200619</v>
      </c>
      <c r="Y158" s="80"/>
    </row>
    <row r="159" spans="1:25" s="1" customFormat="1" ht="59.25" customHeight="1" x14ac:dyDescent="0.3">
      <c r="A159" s="275"/>
      <c r="B159" s="265"/>
      <c r="C159" s="92"/>
      <c r="D159" s="165" t="s">
        <v>284</v>
      </c>
      <c r="E159" s="166" t="s">
        <v>62</v>
      </c>
      <c r="F159" s="575"/>
      <c r="G159" s="288" t="s">
        <v>297</v>
      </c>
      <c r="H159" s="502"/>
      <c r="I159" s="166" t="s">
        <v>62</v>
      </c>
      <c r="J159" s="456"/>
      <c r="K159" s="87" t="s">
        <v>439</v>
      </c>
      <c r="L159" s="490"/>
      <c r="M159" s="61" t="s">
        <v>441</v>
      </c>
      <c r="N159" s="490"/>
      <c r="O159" s="87" t="s">
        <v>547</v>
      </c>
      <c r="P159" s="490"/>
      <c r="Q159" s="61"/>
      <c r="R159" s="490"/>
      <c r="S159" s="87" t="s">
        <v>480</v>
      </c>
      <c r="T159" s="493"/>
      <c r="U159" s="67" t="s">
        <v>482</v>
      </c>
      <c r="V159" s="456"/>
      <c r="W159" s="61">
        <f>(6/25)*100</f>
        <v>24</v>
      </c>
      <c r="X159" s="500"/>
      <c r="Y159" s="80"/>
    </row>
    <row r="160" spans="1:25" s="1" customFormat="1" ht="51" customHeight="1" x14ac:dyDescent="0.3">
      <c r="A160" s="78"/>
      <c r="B160" s="276"/>
      <c r="C160" s="92" t="s">
        <v>157</v>
      </c>
      <c r="D160" s="181" t="s">
        <v>285</v>
      </c>
      <c r="E160" s="176" t="s">
        <v>59</v>
      </c>
      <c r="F160" s="274">
        <v>1028577000</v>
      </c>
      <c r="G160" s="288" t="s">
        <v>301</v>
      </c>
      <c r="H160" s="289">
        <v>647720147</v>
      </c>
      <c r="I160" s="176" t="s">
        <v>59</v>
      </c>
      <c r="J160" s="63">
        <v>1354761900</v>
      </c>
      <c r="K160" s="87" t="s">
        <v>439</v>
      </c>
      <c r="L160" s="119">
        <v>41305500</v>
      </c>
      <c r="M160" s="87" t="s">
        <v>440</v>
      </c>
      <c r="N160" s="119">
        <v>392726000</v>
      </c>
      <c r="O160" s="87" t="s">
        <v>547</v>
      </c>
      <c r="P160" s="119">
        <v>887955000</v>
      </c>
      <c r="Q160" s="87" t="s">
        <v>572</v>
      </c>
      <c r="R160" s="119">
        <v>13821000</v>
      </c>
      <c r="S160" s="87" t="s">
        <v>479</v>
      </c>
      <c r="T160" s="121">
        <f>-R160+P160+N160+L160</f>
        <v>1308165500</v>
      </c>
      <c r="U160" s="67" t="s">
        <v>481</v>
      </c>
      <c r="V160" s="63">
        <f>H160+T160</f>
        <v>1955885647</v>
      </c>
      <c r="W160" s="61">
        <f>(103/360)*100</f>
        <v>28.611111111111111</v>
      </c>
      <c r="X160" s="64">
        <f>(V160/F160)*100</f>
        <v>190.15451901024426</v>
      </c>
      <c r="Y160" s="80"/>
    </row>
    <row r="161" spans="1:25" x14ac:dyDescent="0.35">
      <c r="A161" s="570" t="s">
        <v>6</v>
      </c>
      <c r="B161" s="568"/>
      <c r="C161" s="568"/>
      <c r="D161" s="568"/>
      <c r="E161" s="568"/>
      <c r="F161" s="568"/>
      <c r="G161" s="568"/>
      <c r="H161" s="568"/>
      <c r="I161" s="568"/>
      <c r="J161" s="569"/>
      <c r="K161" s="82">
        <v>16.850000000000001</v>
      </c>
      <c r="L161" s="83">
        <f>L156+L143+L131+L126+L123+L114+L108+L106+L95+L93+L84+L75+L68+L65+L61+L48+L41+L38+L22</f>
        <v>15846515669</v>
      </c>
      <c r="M161" s="82">
        <v>16.850000000000001</v>
      </c>
      <c r="N161" s="83">
        <f>N156+N143+N131+N126+N123+N114+N108+N106+N95+N93+N84+N75+N68+N65+N61+N48+N41+N38+N22</f>
        <v>15126331049</v>
      </c>
      <c r="O161" s="83"/>
      <c r="P161" s="83">
        <f>P156+P143+P131+P126+P123+P114+P108+P106+P95+P93+P84+P75+P68+P65+P61+P48+P41+P38+P22</f>
        <v>12254111021</v>
      </c>
      <c r="Q161" s="83"/>
      <c r="R161" s="83">
        <f>R156+R143+R131+R126+R123+R114+R108+R95+R93+R84+R75+R68+R65+R61+R48+R41+R38+R22</f>
        <v>15566539416</v>
      </c>
      <c r="S161" s="84">
        <f>K161*2</f>
        <v>33.700000000000003</v>
      </c>
      <c r="T161" s="425">
        <f>T156+T143+T131+T126+T123+T114+T108+T95+T93+T84+T75+T68+T65+T61+T48+T41+T38+T22</f>
        <v>58793497155</v>
      </c>
      <c r="U161" s="82">
        <f>S161</f>
        <v>33.700000000000003</v>
      </c>
      <c r="V161" s="426">
        <f>V156+V143+V131+V126+V123+V114+V108+V106+V95+V93+V84+V75+V68+V65+V61+V54+V48+V41+V38+V22</f>
        <v>245522486872</v>
      </c>
      <c r="W161" s="81"/>
      <c r="X161" s="85"/>
      <c r="Y161" s="11"/>
    </row>
    <row r="162" spans="1:25" x14ac:dyDescent="0.35">
      <c r="A162" s="567" t="s">
        <v>7</v>
      </c>
      <c r="B162" s="568"/>
      <c r="C162" s="568"/>
      <c r="D162" s="568"/>
      <c r="E162" s="568"/>
      <c r="F162" s="568"/>
      <c r="G162" s="568"/>
      <c r="H162" s="568"/>
      <c r="I162" s="568"/>
      <c r="J162" s="569"/>
      <c r="K162" s="81"/>
      <c r="L162" s="81"/>
      <c r="M162" s="81"/>
      <c r="N162" s="81"/>
      <c r="O162" s="81"/>
      <c r="P162" s="81"/>
      <c r="Q162" s="81"/>
      <c r="R162" s="81"/>
      <c r="S162" s="81"/>
      <c r="T162" s="83"/>
      <c r="U162" s="81"/>
      <c r="V162" s="81"/>
      <c r="W162" s="81"/>
      <c r="X162" s="81"/>
      <c r="Y162" s="81"/>
    </row>
    <row r="163" spans="1:25" x14ac:dyDescent="0.35">
      <c r="A163" s="564" t="s">
        <v>475</v>
      </c>
      <c r="B163" s="565"/>
      <c r="C163" s="565"/>
      <c r="D163" s="565"/>
      <c r="E163" s="565"/>
      <c r="F163" s="565"/>
      <c r="G163" s="565"/>
      <c r="H163" s="565"/>
      <c r="I163" s="565"/>
      <c r="J163" s="565"/>
      <c r="K163" s="565"/>
      <c r="L163" s="565"/>
      <c r="M163" s="565"/>
      <c r="N163" s="565"/>
      <c r="O163" s="565"/>
      <c r="P163" s="565"/>
      <c r="Q163" s="565"/>
      <c r="R163" s="565"/>
      <c r="S163" s="565"/>
      <c r="T163" s="565"/>
      <c r="U163" s="565"/>
      <c r="V163" s="565"/>
      <c r="W163" s="565"/>
      <c r="X163" s="565"/>
      <c r="Y163" s="566"/>
    </row>
    <row r="164" spans="1:25" x14ac:dyDescent="0.35">
      <c r="A164" s="564" t="s">
        <v>476</v>
      </c>
      <c r="B164" s="565"/>
      <c r="C164" s="565"/>
      <c r="D164" s="565"/>
      <c r="E164" s="565"/>
      <c r="F164" s="565"/>
      <c r="G164" s="565"/>
      <c r="H164" s="565"/>
      <c r="I164" s="565"/>
      <c r="J164" s="565"/>
      <c r="K164" s="565"/>
      <c r="L164" s="565"/>
      <c r="M164" s="565"/>
      <c r="N164" s="565"/>
      <c r="O164" s="565"/>
      <c r="P164" s="565"/>
      <c r="Q164" s="565"/>
      <c r="R164" s="565"/>
      <c r="S164" s="565"/>
      <c r="T164" s="565"/>
      <c r="U164" s="565"/>
      <c r="V164" s="565"/>
      <c r="W164" s="565"/>
      <c r="X164" s="565"/>
      <c r="Y164" s="566"/>
    </row>
    <row r="165" spans="1:25" x14ac:dyDescent="0.35">
      <c r="A165" s="564" t="s">
        <v>477</v>
      </c>
      <c r="B165" s="565"/>
      <c r="C165" s="565"/>
      <c r="D165" s="565"/>
      <c r="E165" s="565"/>
      <c r="F165" s="565"/>
      <c r="G165" s="565"/>
      <c r="H165" s="565"/>
      <c r="I165" s="565"/>
      <c r="J165" s="565"/>
      <c r="K165" s="565"/>
      <c r="L165" s="565"/>
      <c r="M165" s="565"/>
      <c r="N165" s="565"/>
      <c r="O165" s="565"/>
      <c r="P165" s="565"/>
      <c r="Q165" s="565"/>
      <c r="R165" s="565"/>
      <c r="S165" s="565"/>
      <c r="T165" s="565"/>
      <c r="U165" s="565"/>
      <c r="V165" s="565"/>
      <c r="W165" s="565"/>
      <c r="X165" s="565"/>
      <c r="Y165" s="566"/>
    </row>
    <row r="166" spans="1:25" x14ac:dyDescent="0.35">
      <c r="A166" s="564" t="s">
        <v>478</v>
      </c>
      <c r="B166" s="565"/>
      <c r="C166" s="565"/>
      <c r="D166" s="565"/>
      <c r="E166" s="565"/>
      <c r="F166" s="565"/>
      <c r="G166" s="565"/>
      <c r="H166" s="565"/>
      <c r="I166" s="565"/>
      <c r="J166" s="565"/>
      <c r="K166" s="565"/>
      <c r="L166" s="565"/>
      <c r="M166" s="565"/>
      <c r="N166" s="565"/>
      <c r="O166" s="565"/>
      <c r="P166" s="565"/>
      <c r="Q166" s="565"/>
      <c r="R166" s="565"/>
      <c r="S166" s="565"/>
      <c r="T166" s="565"/>
      <c r="U166" s="565"/>
      <c r="V166" s="565"/>
      <c r="W166" s="565"/>
      <c r="X166" s="565"/>
      <c r="Y166" s="566"/>
    </row>
    <row r="167" spans="1:25"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s="4" customFormat="1" ht="15.5" x14ac:dyDescent="0.35">
      <c r="V168" s="5"/>
      <c r="W168" s="6" t="s">
        <v>582</v>
      </c>
      <c r="X168" s="6"/>
    </row>
    <row r="169" spans="1:25" s="4" customFormat="1" ht="15.5" x14ac:dyDescent="0.35">
      <c r="V169" s="422"/>
      <c r="W169" s="423" t="s">
        <v>421</v>
      </c>
      <c r="X169" s="423"/>
    </row>
    <row r="170" spans="1:25" s="4" customFormat="1" ht="15.5" x14ac:dyDescent="0.35">
      <c r="V170" s="422"/>
      <c r="W170" s="423" t="s">
        <v>69</v>
      </c>
      <c r="X170" s="423"/>
    </row>
    <row r="171" spans="1:25" s="4" customFormat="1" ht="15.5" x14ac:dyDescent="0.35">
      <c r="V171" s="422"/>
      <c r="W171" s="423" t="s">
        <v>70</v>
      </c>
      <c r="X171" s="423"/>
    </row>
    <row r="172" spans="1:25" s="4" customFormat="1" ht="15.5" x14ac:dyDescent="0.35">
      <c r="V172" s="422"/>
      <c r="W172" s="423" t="s">
        <v>71</v>
      </c>
      <c r="X172" s="423"/>
    </row>
    <row r="173" spans="1:25" s="4" customFormat="1" ht="15.5" x14ac:dyDescent="0.35">
      <c r="V173" s="422"/>
      <c r="W173" s="422"/>
      <c r="X173" s="422"/>
    </row>
    <row r="174" spans="1:25" s="4" customFormat="1" ht="15.5" x14ac:dyDescent="0.35">
      <c r="V174" s="5"/>
      <c r="W174" s="5"/>
      <c r="X174" s="5"/>
    </row>
    <row r="175" spans="1:25" s="4" customFormat="1" ht="15.5" x14ac:dyDescent="0.35">
      <c r="V175" s="5"/>
      <c r="W175" s="424" t="s">
        <v>422</v>
      </c>
      <c r="X175" s="18"/>
    </row>
    <row r="176" spans="1:25" s="4" customFormat="1" ht="15.5" x14ac:dyDescent="0.35">
      <c r="V176" s="5"/>
      <c r="W176" s="6" t="s">
        <v>73</v>
      </c>
      <c r="X176" s="6"/>
      <c r="Y176" s="6"/>
    </row>
    <row r="177" spans="22:25" s="4" customFormat="1" ht="15.5" x14ac:dyDescent="0.35">
      <c r="V177" s="5"/>
      <c r="W177" s="6" t="s">
        <v>74</v>
      </c>
      <c r="X177" s="6"/>
      <c r="Y177" s="6"/>
    </row>
    <row r="178" spans="22:25" s="4" customFormat="1" ht="15.5" x14ac:dyDescent="0.35">
      <c r="V178" s="6"/>
      <c r="W178" s="6"/>
      <c r="X178" s="6"/>
      <c r="Y178" s="6"/>
    </row>
    <row r="179" spans="22:25" s="4" customFormat="1" ht="15.5" x14ac:dyDescent="0.35">
      <c r="V179" s="6"/>
      <c r="W179" s="6"/>
      <c r="X179" s="6"/>
      <c r="Y179" s="6"/>
    </row>
    <row r="180" spans="22:25" s="4" customFormat="1" ht="15.5" x14ac:dyDescent="0.35">
      <c r="V180" s="6"/>
      <c r="W180" s="6"/>
      <c r="X180" s="6"/>
      <c r="Y180" s="6"/>
    </row>
    <row r="181" spans="22:25" s="4" customFormat="1" ht="15.5" x14ac:dyDescent="0.35">
      <c r="V181" s="6"/>
      <c r="W181" s="6"/>
      <c r="X181" s="6"/>
      <c r="Y181" s="6"/>
    </row>
    <row r="182" spans="22:25" s="4" customFormat="1" ht="15.5" x14ac:dyDescent="0.35">
      <c r="V182" s="6"/>
      <c r="W182" s="6"/>
      <c r="X182" s="6"/>
      <c r="Y182" s="6"/>
    </row>
    <row r="183" spans="22:25" s="4" customFormat="1" ht="15.5" x14ac:dyDescent="0.35">
      <c r="V183" s="6"/>
      <c r="W183" s="6"/>
      <c r="X183" s="6"/>
      <c r="Y183" s="6"/>
    </row>
    <row r="184" spans="22:25" s="4" customFormat="1" ht="15.5" x14ac:dyDescent="0.35">
      <c r="V184" s="6"/>
      <c r="W184" s="6"/>
      <c r="X184" s="6"/>
      <c r="Y184" s="6"/>
    </row>
    <row r="185" spans="22:25" s="4" customFormat="1" ht="15.5" x14ac:dyDescent="0.35">
      <c r="V185" s="6"/>
      <c r="W185" s="6"/>
      <c r="X185" s="6"/>
      <c r="Y185" s="6"/>
    </row>
    <row r="186" spans="22:25" s="4" customFormat="1" ht="15.5" x14ac:dyDescent="0.35">
      <c r="V186" s="6"/>
      <c r="W186" s="6"/>
      <c r="X186" s="6"/>
      <c r="Y186" s="6"/>
    </row>
    <row r="187" spans="22:25" s="4" customFormat="1" ht="15.5" x14ac:dyDescent="0.35">
      <c r="V187" s="6"/>
      <c r="W187" s="6"/>
      <c r="X187" s="6"/>
      <c r="Y187" s="6"/>
    </row>
    <row r="188" spans="22:25" s="4" customFormat="1" ht="15.5" x14ac:dyDescent="0.35">
      <c r="V188" s="6"/>
      <c r="W188" s="6"/>
      <c r="X188" s="6"/>
      <c r="Y188" s="6"/>
    </row>
    <row r="189" spans="22:25" s="4" customFormat="1" ht="15.5" x14ac:dyDescent="0.35">
      <c r="V189" s="6"/>
      <c r="W189" s="6"/>
      <c r="X189" s="6"/>
      <c r="Y189" s="6"/>
    </row>
    <row r="190" spans="22:25" s="4" customFormat="1" ht="15.5" x14ac:dyDescent="0.35">
      <c r="V190" s="6"/>
      <c r="W190" s="6"/>
      <c r="X190" s="6"/>
      <c r="Y190" s="6"/>
    </row>
    <row r="191" spans="22:25" s="4" customFormat="1" ht="15.5" x14ac:dyDescent="0.35">
      <c r="V191" s="6"/>
      <c r="W191" s="6"/>
      <c r="X191" s="6"/>
      <c r="Y191" s="6"/>
    </row>
    <row r="192" spans="22:25" s="4" customFormat="1" ht="15.5" x14ac:dyDescent="0.35">
      <c r="V192" s="6"/>
      <c r="W192" s="6"/>
      <c r="X192" s="6"/>
      <c r="Y192" s="6"/>
    </row>
    <row r="193" spans="22:25" s="4" customFormat="1" ht="15.5" x14ac:dyDescent="0.35">
      <c r="V193" s="6"/>
      <c r="W193" s="6"/>
      <c r="X193" s="6"/>
      <c r="Y193" s="6"/>
    </row>
    <row r="194" spans="22:25" s="4" customFormat="1" ht="15.5" x14ac:dyDescent="0.35">
      <c r="V194" s="6"/>
      <c r="W194" s="6"/>
      <c r="X194" s="6"/>
      <c r="Y194" s="6"/>
    </row>
    <row r="195" spans="22:25" s="4" customFormat="1" ht="15.5" x14ac:dyDescent="0.35">
      <c r="V195" s="6"/>
      <c r="W195" s="6"/>
      <c r="X195" s="6"/>
      <c r="Y195" s="6"/>
    </row>
    <row r="196" spans="22:25" s="4" customFormat="1" ht="15.5" x14ac:dyDescent="0.35">
      <c r="V196" s="6"/>
      <c r="W196" s="6"/>
      <c r="X196" s="6"/>
      <c r="Y196" s="6"/>
    </row>
    <row r="197" spans="22:25" s="4" customFormat="1" ht="15.5" x14ac:dyDescent="0.35">
      <c r="V197" s="6"/>
      <c r="W197" s="6"/>
      <c r="X197" s="6"/>
      <c r="Y197" s="6"/>
    </row>
    <row r="198" spans="22:25" s="4" customFormat="1" ht="15.5" x14ac:dyDescent="0.35">
      <c r="V198" s="6"/>
      <c r="W198" s="6"/>
      <c r="X198" s="6"/>
      <c r="Y198" s="6"/>
    </row>
    <row r="199" spans="22:25" s="4" customFormat="1" ht="15.5" x14ac:dyDescent="0.35">
      <c r="V199" s="6"/>
      <c r="W199" s="6"/>
      <c r="X199" s="6"/>
      <c r="Y199" s="6"/>
    </row>
    <row r="200" spans="22:25" s="4" customFormat="1" ht="15.5" x14ac:dyDescent="0.35">
      <c r="V200" s="6"/>
      <c r="W200" s="6"/>
      <c r="X200" s="6"/>
      <c r="Y200" s="6"/>
    </row>
    <row r="201" spans="22:25" s="4" customFormat="1" ht="15.5" x14ac:dyDescent="0.35">
      <c r="V201" s="6"/>
      <c r="W201" s="6"/>
      <c r="X201" s="6"/>
      <c r="Y201" s="6"/>
    </row>
    <row r="202" spans="22:25" s="4" customFormat="1" ht="15.5" x14ac:dyDescent="0.35">
      <c r="V202" s="6"/>
      <c r="W202" s="6"/>
      <c r="X202" s="6"/>
      <c r="Y202" s="6"/>
    </row>
    <row r="203" spans="22:25" s="4" customFormat="1" ht="15.5" x14ac:dyDescent="0.35">
      <c r="V203" s="6"/>
      <c r="W203" s="6"/>
      <c r="X203" s="6"/>
      <c r="Y203" s="6"/>
    </row>
    <row r="204" spans="22:25" s="4" customFormat="1" ht="15.5" x14ac:dyDescent="0.35">
      <c r="V204" s="6"/>
      <c r="W204" s="6"/>
      <c r="X204" s="6"/>
      <c r="Y204" s="6"/>
    </row>
    <row r="205" spans="22:25" s="4" customFormat="1" ht="15.5" x14ac:dyDescent="0.35">
      <c r="V205" s="6"/>
      <c r="W205" s="6"/>
      <c r="X205" s="6"/>
      <c r="Y205" s="6"/>
    </row>
    <row r="206" spans="22:25" s="4" customFormat="1" ht="15.5" x14ac:dyDescent="0.35">
      <c r="V206" s="6"/>
      <c r="W206" s="6"/>
      <c r="X206" s="6"/>
      <c r="Y206" s="6"/>
    </row>
    <row r="207" spans="22:25" s="4" customFormat="1" ht="15.5" x14ac:dyDescent="0.35">
      <c r="V207" s="6"/>
      <c r="W207" s="6"/>
      <c r="X207" s="6"/>
      <c r="Y207" s="6"/>
    </row>
    <row r="208" spans="22:25" s="4" customFormat="1" ht="15.5" x14ac:dyDescent="0.35">
      <c r="V208" s="6"/>
      <c r="W208" s="6"/>
      <c r="X208" s="6"/>
      <c r="Y208" s="6"/>
    </row>
    <row r="209" spans="22:25" s="4" customFormat="1" ht="15.5" x14ac:dyDescent="0.35">
      <c r="V209" s="6"/>
      <c r="W209" s="6"/>
      <c r="X209" s="6"/>
      <c r="Y209" s="6"/>
    </row>
    <row r="210" spans="22:25" s="4" customFormat="1" ht="15.5" x14ac:dyDescent="0.35">
      <c r="V210" s="6"/>
      <c r="W210" s="6"/>
      <c r="X210" s="6"/>
      <c r="Y210" s="6"/>
    </row>
    <row r="211" spans="22:25" s="4" customFormat="1" ht="15.5" x14ac:dyDescent="0.35">
      <c r="V211" s="6"/>
      <c r="W211" s="6"/>
      <c r="X211" s="6"/>
      <c r="Y211" s="6"/>
    </row>
    <row r="212" spans="22:25" s="4" customFormat="1" ht="15.5" x14ac:dyDescent="0.35">
      <c r="V212" s="6"/>
      <c r="W212" s="6"/>
      <c r="X212" s="6"/>
      <c r="Y212" s="6"/>
    </row>
    <row r="213" spans="22:25" s="4" customFormat="1" ht="15.5" x14ac:dyDescent="0.35">
      <c r="V213" s="6"/>
      <c r="W213" s="6"/>
      <c r="X213" s="6"/>
      <c r="Y213" s="6"/>
    </row>
    <row r="214" spans="22:25" s="4" customFormat="1" ht="15.5" x14ac:dyDescent="0.35">
      <c r="V214" s="6"/>
      <c r="W214" s="6"/>
      <c r="X214" s="6"/>
      <c r="Y214" s="6"/>
    </row>
    <row r="215" spans="22:25" s="4" customFormat="1" ht="15.5" x14ac:dyDescent="0.35">
      <c r="V215" s="6"/>
      <c r="W215" s="6"/>
      <c r="X215" s="6"/>
      <c r="Y215" s="6"/>
    </row>
    <row r="216" spans="22:25" s="4" customFormat="1" ht="15.5" x14ac:dyDescent="0.35">
      <c r="V216" s="6"/>
      <c r="W216" s="6"/>
      <c r="X216" s="6"/>
      <c r="Y216" s="6"/>
    </row>
    <row r="217" spans="22:25" s="4" customFormat="1" ht="15.5" x14ac:dyDescent="0.35">
      <c r="V217" s="6"/>
      <c r="W217" s="6"/>
      <c r="X217" s="6"/>
      <c r="Y217" s="6"/>
    </row>
    <row r="218" spans="22:25" s="4" customFormat="1" ht="15.5" x14ac:dyDescent="0.35">
      <c r="V218" s="6"/>
      <c r="W218" s="6"/>
      <c r="X218" s="6"/>
      <c r="Y218" s="6"/>
    </row>
    <row r="219" spans="22:25" s="4" customFormat="1" ht="15.5" x14ac:dyDescent="0.35">
      <c r="V219" s="6"/>
      <c r="W219" s="6"/>
      <c r="X219" s="6"/>
      <c r="Y219" s="6"/>
    </row>
    <row r="220" spans="22:25" s="4" customFormat="1" ht="15.5" x14ac:dyDescent="0.35">
      <c r="V220" s="6"/>
      <c r="W220" s="6"/>
      <c r="X220" s="6"/>
      <c r="Y220" s="6"/>
    </row>
    <row r="221" spans="22:25" s="4" customFormat="1" ht="15.5" x14ac:dyDescent="0.35">
      <c r="V221" s="6"/>
      <c r="W221" s="6"/>
      <c r="X221" s="6"/>
      <c r="Y221" s="6"/>
    </row>
    <row r="222" spans="22:25" s="4" customFormat="1" ht="15.5" x14ac:dyDescent="0.35">
      <c r="V222" s="6"/>
      <c r="W222" s="6"/>
      <c r="X222" s="6"/>
      <c r="Y222" s="6"/>
    </row>
    <row r="223" spans="22:25" s="4" customFormat="1" ht="15.5" x14ac:dyDescent="0.35">
      <c r="V223" s="6"/>
      <c r="W223" s="6"/>
      <c r="X223" s="6"/>
      <c r="Y223" s="6"/>
    </row>
    <row r="224" spans="22:25" s="4" customFormat="1" ht="15.5" x14ac:dyDescent="0.35">
      <c r="V224" s="6"/>
      <c r="W224" s="6"/>
      <c r="X224" s="6"/>
      <c r="Y224" s="6"/>
    </row>
    <row r="225" spans="22:25" s="4" customFormat="1" ht="15.5" x14ac:dyDescent="0.35">
      <c r="V225" s="6"/>
      <c r="W225" s="6"/>
      <c r="X225" s="6"/>
      <c r="Y225" s="6"/>
    </row>
    <row r="226" spans="22:25" s="4" customFormat="1" ht="15.5" x14ac:dyDescent="0.35">
      <c r="V226" s="6"/>
      <c r="W226" s="6"/>
      <c r="X226" s="6"/>
      <c r="Y226" s="6"/>
    </row>
    <row r="227" spans="22:25" s="4" customFormat="1" ht="15.5" x14ac:dyDescent="0.35">
      <c r="V227" s="6"/>
      <c r="W227" s="6"/>
      <c r="X227" s="6"/>
      <c r="Y227" s="6"/>
    </row>
    <row r="228" spans="22:25" s="4" customFormat="1" ht="15.5" x14ac:dyDescent="0.35">
      <c r="V228" s="6"/>
      <c r="W228" s="6"/>
      <c r="X228" s="6"/>
      <c r="Y228" s="6"/>
    </row>
    <row r="229" spans="22:25" s="4" customFormat="1" ht="15.5" x14ac:dyDescent="0.35">
      <c r="V229" s="6"/>
      <c r="W229" s="6"/>
      <c r="X229" s="6"/>
      <c r="Y229" s="6"/>
    </row>
    <row r="230" spans="22:25" s="4" customFormat="1" ht="15.5" x14ac:dyDescent="0.35">
      <c r="V230" s="6"/>
      <c r="W230" s="6"/>
      <c r="X230" s="6"/>
      <c r="Y230" s="6"/>
    </row>
    <row r="231" spans="22:25" s="4" customFormat="1" ht="15.5" x14ac:dyDescent="0.35">
      <c r="V231" s="6"/>
      <c r="W231" s="6"/>
      <c r="X231" s="6"/>
      <c r="Y231" s="6"/>
    </row>
    <row r="232" spans="22:25" s="4" customFormat="1" ht="15.5" x14ac:dyDescent="0.35">
      <c r="V232" s="6"/>
      <c r="W232" s="6"/>
      <c r="X232" s="6"/>
      <c r="Y232" s="6"/>
    </row>
    <row r="233" spans="22:25" s="4" customFormat="1" ht="15.5" x14ac:dyDescent="0.35">
      <c r="V233" s="6"/>
      <c r="W233" s="6"/>
      <c r="X233" s="6"/>
      <c r="Y233" s="6"/>
    </row>
    <row r="234" spans="22:25" s="4" customFormat="1" ht="15.5" x14ac:dyDescent="0.35">
      <c r="V234" s="6"/>
      <c r="W234" s="6"/>
      <c r="X234" s="6"/>
      <c r="Y234" s="6"/>
    </row>
    <row r="235" spans="22:25" s="4" customFormat="1" ht="15.5" x14ac:dyDescent="0.35">
      <c r="V235" s="6"/>
      <c r="W235" s="6"/>
      <c r="X235" s="6"/>
      <c r="Y235" s="6"/>
    </row>
    <row r="236" spans="22:25" s="4" customFormat="1" ht="15.5" x14ac:dyDescent="0.35">
      <c r="V236" s="6"/>
      <c r="W236" s="6"/>
      <c r="X236" s="6"/>
      <c r="Y236" s="6"/>
    </row>
    <row r="237" spans="22:25" s="4" customFormat="1" ht="15.5" x14ac:dyDescent="0.35">
      <c r="V237" s="6"/>
      <c r="W237" s="6"/>
      <c r="X237" s="6"/>
      <c r="Y237" s="6"/>
    </row>
    <row r="238" spans="22:25" s="4" customFormat="1" ht="15.5" x14ac:dyDescent="0.35">
      <c r="V238" s="6"/>
      <c r="W238" s="6"/>
      <c r="X238" s="6"/>
      <c r="Y238" s="6"/>
    </row>
    <row r="239" spans="22:25" s="4" customFormat="1" ht="15.5" x14ac:dyDescent="0.35">
      <c r="V239" s="6"/>
      <c r="W239" s="6"/>
      <c r="X239" s="6"/>
      <c r="Y239" s="6"/>
    </row>
    <row r="240" spans="22:25" s="4" customFormat="1" ht="15.5" x14ac:dyDescent="0.35">
      <c r="V240" s="6"/>
      <c r="W240" s="6"/>
      <c r="X240" s="6"/>
      <c r="Y240" s="6"/>
    </row>
    <row r="241" spans="1:25" s="4" customFormat="1" ht="15.5" x14ac:dyDescent="0.35">
      <c r="V241" s="6"/>
      <c r="W241" s="6"/>
      <c r="X241" s="6"/>
      <c r="Y241" s="6"/>
    </row>
    <row r="242" spans="1:25" s="4" customFormat="1" ht="15.5" x14ac:dyDescent="0.35">
      <c r="V242" s="6"/>
      <c r="W242" s="6"/>
      <c r="X242" s="6"/>
      <c r="Y242" s="6"/>
    </row>
    <row r="243" spans="1:25" s="4" customFormat="1" ht="15.5" x14ac:dyDescent="0.35">
      <c r="V243" s="6"/>
      <c r="W243" s="6"/>
      <c r="X243" s="6"/>
      <c r="Y243" s="6"/>
    </row>
    <row r="244" spans="1:25" s="4" customFormat="1" ht="15.5" x14ac:dyDescent="0.35">
      <c r="V244" s="6"/>
      <c r="W244" s="6"/>
      <c r="X244" s="6"/>
      <c r="Y244" s="6"/>
    </row>
    <row r="245" spans="1:25" s="4" customFormat="1" ht="15.5" x14ac:dyDescent="0.35">
      <c r="V245" s="6"/>
      <c r="W245" s="6"/>
      <c r="X245" s="6"/>
      <c r="Y245" s="6"/>
    </row>
    <row r="246" spans="1:25" s="4" customFormat="1" ht="15.5" x14ac:dyDescent="0.35">
      <c r="V246" s="6"/>
      <c r="W246" s="6"/>
      <c r="X246" s="6"/>
      <c r="Y246" s="6"/>
    </row>
    <row r="247" spans="1:25" x14ac:dyDescent="0.35">
      <c r="A247" s="41"/>
      <c r="B247" s="42"/>
      <c r="C247" s="43"/>
      <c r="D247" s="43"/>
      <c r="E247" s="44"/>
      <c r="F247" s="45"/>
      <c r="G247" s="35"/>
      <c r="H247" s="46"/>
      <c r="I247" s="44"/>
      <c r="J247" s="45"/>
      <c r="K247" s="44"/>
      <c r="L247" s="40"/>
      <c r="M247" s="44"/>
      <c r="N247" s="40"/>
      <c r="O247" s="40"/>
      <c r="P247" s="40"/>
      <c r="Q247" s="40"/>
      <c r="R247" s="40"/>
      <c r="S247" s="37"/>
      <c r="T247" s="37"/>
      <c r="U247" s="39"/>
      <c r="V247" s="36"/>
      <c r="W247" s="37"/>
      <c r="X247" s="38"/>
      <c r="Y247" s="41"/>
    </row>
  </sheetData>
  <mergeCells count="303">
    <mergeCell ref="T69:T70"/>
    <mergeCell ref="V81:V82"/>
    <mergeCell ref="T71:T72"/>
    <mergeCell ref="V91:V92"/>
    <mergeCell ref="V42:V43"/>
    <mergeCell ref="R91:R92"/>
    <mergeCell ref="T104:T105"/>
    <mergeCell ref="T91:T92"/>
    <mergeCell ref="X46:X47"/>
    <mergeCell ref="V46:V47"/>
    <mergeCell ref="X81:X82"/>
    <mergeCell ref="X96:X97"/>
    <mergeCell ref="X102:X103"/>
    <mergeCell ref="X104:X105"/>
    <mergeCell ref="X79:X80"/>
    <mergeCell ref="T81:T82"/>
    <mergeCell ref="T96:T97"/>
    <mergeCell ref="R104:R105"/>
    <mergeCell ref="X71:X72"/>
    <mergeCell ref="X76:X78"/>
    <mergeCell ref="X44:X45"/>
    <mergeCell ref="X49:X53"/>
    <mergeCell ref="V56:V59"/>
    <mergeCell ref="R81:R82"/>
    <mergeCell ref="V96:V97"/>
    <mergeCell ref="V102:V103"/>
    <mergeCell ref="T85:T89"/>
    <mergeCell ref="V85:V89"/>
    <mergeCell ref="F158:F159"/>
    <mergeCell ref="J158:J159"/>
    <mergeCell ref="F91:F92"/>
    <mergeCell ref="L158:L159"/>
    <mergeCell ref="P91:P92"/>
    <mergeCell ref="N91:N92"/>
    <mergeCell ref="L104:L105"/>
    <mergeCell ref="N104:N105"/>
    <mergeCell ref="P104:P105"/>
    <mergeCell ref="P158:P159"/>
    <mergeCell ref="N158:N159"/>
    <mergeCell ref="L91:L92"/>
    <mergeCell ref="L111:L113"/>
    <mergeCell ref="N111:N113"/>
    <mergeCell ref="P111:P113"/>
    <mergeCell ref="L132:L136"/>
    <mergeCell ref="N132:N136"/>
    <mergeCell ref="J111:J113"/>
    <mergeCell ref="P132:P136"/>
    <mergeCell ref="J91:J92"/>
    <mergeCell ref="F143:F151"/>
    <mergeCell ref="N102:N103"/>
    <mergeCell ref="H137:H140"/>
    <mergeCell ref="P137:P140"/>
    <mergeCell ref="J132:J136"/>
    <mergeCell ref="J137:J140"/>
    <mergeCell ref="F69:F70"/>
    <mergeCell ref="F137:F140"/>
    <mergeCell ref="H69:H70"/>
    <mergeCell ref="F111:F113"/>
    <mergeCell ref="F76:F78"/>
    <mergeCell ref="F79:F80"/>
    <mergeCell ref="F81:F82"/>
    <mergeCell ref="H71:H72"/>
    <mergeCell ref="F71:F72"/>
    <mergeCell ref="F104:F105"/>
    <mergeCell ref="F96:F97"/>
    <mergeCell ref="F102:F103"/>
    <mergeCell ref="F85:F89"/>
    <mergeCell ref="H85:H89"/>
    <mergeCell ref="H104:H105"/>
    <mergeCell ref="J81:J82"/>
    <mergeCell ref="J96:J97"/>
    <mergeCell ref="J102:J103"/>
    <mergeCell ref="J104:J105"/>
    <mergeCell ref="H111:H113"/>
    <mergeCell ref="H76:H78"/>
    <mergeCell ref="H79:H80"/>
    <mergeCell ref="F33:F37"/>
    <mergeCell ref="F28:F30"/>
    <mergeCell ref="A1:Y1"/>
    <mergeCell ref="A2:Y2"/>
    <mergeCell ref="A3:Y3"/>
    <mergeCell ref="A4:Y4"/>
    <mergeCell ref="G18:H19"/>
    <mergeCell ref="S18:T19"/>
    <mergeCell ref="K19:L19"/>
    <mergeCell ref="A18:A19"/>
    <mergeCell ref="B18:B19"/>
    <mergeCell ref="C18:C19"/>
    <mergeCell ref="D18:D19"/>
    <mergeCell ref="I18:J19"/>
    <mergeCell ref="Y18:Y19"/>
    <mergeCell ref="B12:G12"/>
    <mergeCell ref="B14:G14"/>
    <mergeCell ref="B13:G13"/>
    <mergeCell ref="U18:V19"/>
    <mergeCell ref="W18:X19"/>
    <mergeCell ref="N28:N30"/>
    <mergeCell ref="N31:N32"/>
    <mergeCell ref="X42:X43"/>
    <mergeCell ref="E20:F20"/>
    <mergeCell ref="P81:P82"/>
    <mergeCell ref="J46:J47"/>
    <mergeCell ref="J44:J45"/>
    <mergeCell ref="J42:J43"/>
    <mergeCell ref="A166:Y166"/>
    <mergeCell ref="A165:Y165"/>
    <mergeCell ref="A164:Y164"/>
    <mergeCell ref="A163:Y163"/>
    <mergeCell ref="A162:J162"/>
    <mergeCell ref="A161:J161"/>
    <mergeCell ref="Y20:Y21"/>
    <mergeCell ref="D20:D21"/>
    <mergeCell ref="C20:C21"/>
    <mergeCell ref="B20:B21"/>
    <mergeCell ref="A20:A21"/>
    <mergeCell ref="W20:X20"/>
    <mergeCell ref="G20:H20"/>
    <mergeCell ref="U20:V20"/>
    <mergeCell ref="F22:F27"/>
    <mergeCell ref="F31:F32"/>
    <mergeCell ref="M19:N19"/>
    <mergeCell ref="S20:T20"/>
    <mergeCell ref="K20:L20"/>
    <mergeCell ref="P22:P27"/>
    <mergeCell ref="E18:F19"/>
    <mergeCell ref="O19:P19"/>
    <mergeCell ref="K18:R18"/>
    <mergeCell ref="Q19:R19"/>
    <mergeCell ref="I20:J20"/>
    <mergeCell ref="J22:J27"/>
    <mergeCell ref="M20:N20"/>
    <mergeCell ref="F46:F47"/>
    <mergeCell ref="F44:F45"/>
    <mergeCell ref="F42:F43"/>
    <mergeCell ref="P46:P47"/>
    <mergeCell ref="T111:T113"/>
    <mergeCell ref="T46:T47"/>
    <mergeCell ref="L69:L70"/>
    <mergeCell ref="N85:N89"/>
    <mergeCell ref="P85:P89"/>
    <mergeCell ref="L81:L82"/>
    <mergeCell ref="L102:L103"/>
    <mergeCell ref="P69:P70"/>
    <mergeCell ref="R69:R70"/>
    <mergeCell ref="N96:N97"/>
    <mergeCell ref="J69:J70"/>
    <mergeCell ref="P42:P43"/>
    <mergeCell ref="P44:P45"/>
    <mergeCell ref="P102:P103"/>
    <mergeCell ref="P96:P97"/>
    <mergeCell ref="R96:R97"/>
    <mergeCell ref="J85:J89"/>
    <mergeCell ref="H81:H82"/>
    <mergeCell ref="H96:H97"/>
    <mergeCell ref="H102:H103"/>
    <mergeCell ref="R42:R43"/>
    <mergeCell ref="R44:R45"/>
    <mergeCell ref="R46:R47"/>
    <mergeCell ref="N69:N70"/>
    <mergeCell ref="H22:H27"/>
    <mergeCell ref="V22:V27"/>
    <mergeCell ref="P28:P30"/>
    <mergeCell ref="H31:H32"/>
    <mergeCell ref="J31:J32"/>
    <mergeCell ref="R31:R32"/>
    <mergeCell ref="H28:H30"/>
    <mergeCell ref="R33:R37"/>
    <mergeCell ref="R28:R30"/>
    <mergeCell ref="J28:J30"/>
    <mergeCell ref="T44:T45"/>
    <mergeCell ref="R22:R27"/>
    <mergeCell ref="L28:L30"/>
    <mergeCell ref="L31:L32"/>
    <mergeCell ref="L33:L37"/>
    <mergeCell ref="P33:P37"/>
    <mergeCell ref="L42:L43"/>
    <mergeCell ref="L22:L27"/>
    <mergeCell ref="N22:N27"/>
    <mergeCell ref="P31:P32"/>
    <mergeCell ref="H33:H37"/>
    <mergeCell ref="H56:H59"/>
    <mergeCell ref="H42:H43"/>
    <mergeCell ref="H44:H45"/>
    <mergeCell ref="H46:H47"/>
    <mergeCell ref="N33:N37"/>
    <mergeCell ref="N42:N43"/>
    <mergeCell ref="N44:N45"/>
    <mergeCell ref="J33:J37"/>
    <mergeCell ref="L44:L45"/>
    <mergeCell ref="N46:N47"/>
    <mergeCell ref="L85:L89"/>
    <mergeCell ref="L71:L72"/>
    <mergeCell ref="N71:N72"/>
    <mergeCell ref="N76:N78"/>
    <mergeCell ref="N79:N80"/>
    <mergeCell ref="N81:N82"/>
    <mergeCell ref="L96:L97"/>
    <mergeCell ref="L46:L47"/>
    <mergeCell ref="X137:X140"/>
    <mergeCell ref="X91:X92"/>
    <mergeCell ref="V49:V53"/>
    <mergeCell ref="P117:P120"/>
    <mergeCell ref="T117:T120"/>
    <mergeCell ref="T137:T140"/>
    <mergeCell ref="X56:X59"/>
    <mergeCell ref="X117:X120"/>
    <mergeCell ref="R132:R136"/>
    <mergeCell ref="R137:R140"/>
    <mergeCell ref="R111:R113"/>
    <mergeCell ref="R117:R120"/>
    <mergeCell ref="V111:V113"/>
    <mergeCell ref="R85:R89"/>
    <mergeCell ref="R102:R103"/>
    <mergeCell ref="T102:T103"/>
    <mergeCell ref="X143:X151"/>
    <mergeCell ref="V117:V120"/>
    <mergeCell ref="X54:X55"/>
    <mergeCell ref="T22:T27"/>
    <mergeCell ref="T28:T30"/>
    <mergeCell ref="T31:T32"/>
    <mergeCell ref="T33:T37"/>
    <mergeCell ref="T143:T151"/>
    <mergeCell ref="V28:V30"/>
    <mergeCell ref="V143:V151"/>
    <mergeCell ref="V54:V55"/>
    <mergeCell ref="V69:V70"/>
    <mergeCell ref="V137:V140"/>
    <mergeCell ref="T132:T136"/>
    <mergeCell ref="V132:V136"/>
    <mergeCell ref="X22:X27"/>
    <mergeCell ref="W22:W27"/>
    <mergeCell ref="X28:X30"/>
    <mergeCell ref="X31:X32"/>
    <mergeCell ref="X33:X37"/>
    <mergeCell ref="V33:V37"/>
    <mergeCell ref="V44:V45"/>
    <mergeCell ref="V31:V32"/>
    <mergeCell ref="T42:T43"/>
    <mergeCell ref="X158:X159"/>
    <mergeCell ref="H158:H159"/>
    <mergeCell ref="R158:R159"/>
    <mergeCell ref="J143:J151"/>
    <mergeCell ref="T158:T159"/>
    <mergeCell ref="Y75:Y76"/>
    <mergeCell ref="J71:J72"/>
    <mergeCell ref="V71:V72"/>
    <mergeCell ref="L76:L78"/>
    <mergeCell ref="T76:T78"/>
    <mergeCell ref="V76:V78"/>
    <mergeCell ref="L79:L80"/>
    <mergeCell ref="T79:T80"/>
    <mergeCell ref="V79:V80"/>
    <mergeCell ref="P71:P72"/>
    <mergeCell ref="P76:P78"/>
    <mergeCell ref="P79:P80"/>
    <mergeCell ref="J76:J78"/>
    <mergeCell ref="J79:J80"/>
    <mergeCell ref="R71:R72"/>
    <mergeCell ref="R76:R78"/>
    <mergeCell ref="R79:R80"/>
    <mergeCell ref="Y117:Y120"/>
    <mergeCell ref="X132:X136"/>
    <mergeCell ref="C54:C55"/>
    <mergeCell ref="F54:F55"/>
    <mergeCell ref="J54:J55"/>
    <mergeCell ref="L54:L55"/>
    <mergeCell ref="N54:N55"/>
    <mergeCell ref="P54:P55"/>
    <mergeCell ref="R54:R55"/>
    <mergeCell ref="T54:T55"/>
    <mergeCell ref="F49:F53"/>
    <mergeCell ref="J49:J53"/>
    <mergeCell ref="L49:L53"/>
    <mergeCell ref="N49:N53"/>
    <mergeCell ref="P49:P53"/>
    <mergeCell ref="H49:H53"/>
    <mergeCell ref="H54:H55"/>
    <mergeCell ref="T49:T53"/>
    <mergeCell ref="R49:R53"/>
    <mergeCell ref="V158:V159"/>
    <mergeCell ref="C56:C59"/>
    <mergeCell ref="F56:F59"/>
    <mergeCell ref="J56:J59"/>
    <mergeCell ref="L56:L59"/>
    <mergeCell ref="N56:N59"/>
    <mergeCell ref="P56:P59"/>
    <mergeCell ref="R56:R59"/>
    <mergeCell ref="T56:T59"/>
    <mergeCell ref="H143:H151"/>
    <mergeCell ref="L143:L151"/>
    <mergeCell ref="N143:N151"/>
    <mergeCell ref="P143:P151"/>
    <mergeCell ref="R143:R151"/>
    <mergeCell ref="H117:H120"/>
    <mergeCell ref="H132:H136"/>
    <mergeCell ref="H91:H92"/>
    <mergeCell ref="L137:L140"/>
    <mergeCell ref="N137:N140"/>
    <mergeCell ref="F117:F120"/>
    <mergeCell ref="J117:J120"/>
    <mergeCell ref="F132:F136"/>
    <mergeCell ref="L117:L120"/>
    <mergeCell ref="N117:N120"/>
  </mergeCells>
  <phoneticPr fontId="27" type="noConversion"/>
  <printOptions horizontalCentered="1"/>
  <pageMargins left="0.59055118110236227" right="7.874015748031496E-2" top="0.55118110236220474" bottom="0.55118110236220474" header="0.31496062992125984" footer="0.31496062992125984"/>
  <pageSetup paperSize="14" scale="39" fitToHeight="0" orientation="landscape" horizontalDpi="4294967293" verticalDpi="180" r:id="rId1"/>
  <rowBreaks count="2" manualBreakCount="2">
    <brk id="93" max="26" man="1"/>
    <brk id="11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workbookViewId="0">
      <selection activeCell="G13" sqref="G13"/>
    </sheetView>
  </sheetViews>
  <sheetFormatPr defaultRowHeight="14.5" x14ac:dyDescent="0.35"/>
  <cols>
    <col min="1" max="1" width="3.54296875" customWidth="1"/>
    <col min="2" max="2" width="49.453125" customWidth="1"/>
    <col min="3" max="3" width="14.453125" customWidth="1"/>
    <col min="4" max="7" width="9.1796875" customWidth="1"/>
    <col min="10" max="10" width="25.54296875" customWidth="1"/>
  </cols>
  <sheetData>
    <row r="1" spans="1:10" ht="18.5" x14ac:dyDescent="0.45">
      <c r="A1" s="589" t="s">
        <v>75</v>
      </c>
      <c r="B1" s="589"/>
      <c r="C1" s="589"/>
      <c r="D1" s="589"/>
      <c r="E1" s="589"/>
      <c r="F1" s="589"/>
      <c r="G1" s="589"/>
      <c r="H1" s="589"/>
      <c r="I1" s="589"/>
      <c r="J1" s="589"/>
    </row>
    <row r="3" spans="1:10" ht="30" customHeight="1" x14ac:dyDescent="0.35">
      <c r="A3" s="590" t="s">
        <v>76</v>
      </c>
      <c r="B3" s="590" t="s">
        <v>77</v>
      </c>
      <c r="C3" s="590" t="s">
        <v>78</v>
      </c>
      <c r="D3" s="592" t="s">
        <v>79</v>
      </c>
      <c r="E3" s="593"/>
      <c r="F3" s="593"/>
      <c r="G3" s="594"/>
      <c r="H3" s="592" t="s">
        <v>80</v>
      </c>
      <c r="I3" s="593"/>
      <c r="J3" s="590" t="s">
        <v>81</v>
      </c>
    </row>
    <row r="4" spans="1:10" ht="31.5" customHeight="1" x14ac:dyDescent="0.35">
      <c r="A4" s="591"/>
      <c r="B4" s="591"/>
      <c r="C4" s="591"/>
      <c r="D4" s="33">
        <v>2016</v>
      </c>
      <c r="E4" s="33">
        <v>2017</v>
      </c>
      <c r="F4" s="33">
        <v>2018</v>
      </c>
      <c r="G4" s="33">
        <v>2019</v>
      </c>
      <c r="H4" s="33">
        <v>2020</v>
      </c>
      <c r="I4" s="33">
        <v>2021</v>
      </c>
      <c r="J4" s="591"/>
    </row>
    <row r="5" spans="1:10" x14ac:dyDescent="0.35">
      <c r="A5" s="23" t="s">
        <v>90</v>
      </c>
      <c r="B5" s="31"/>
      <c r="C5" s="31"/>
      <c r="D5" s="31"/>
      <c r="E5" s="31"/>
      <c r="F5" s="31"/>
      <c r="G5" s="31"/>
      <c r="H5" s="31"/>
      <c r="I5" s="31"/>
      <c r="J5" s="32"/>
    </row>
    <row r="6" spans="1:10" x14ac:dyDescent="0.35">
      <c r="A6" s="30"/>
      <c r="B6" s="23" t="s">
        <v>82</v>
      </c>
      <c r="C6" s="21"/>
      <c r="D6" s="21"/>
      <c r="E6" s="21"/>
      <c r="F6" s="21"/>
      <c r="G6" s="21"/>
      <c r="H6" s="21"/>
      <c r="I6" s="21"/>
      <c r="J6" s="22"/>
    </row>
    <row r="7" spans="1:10" x14ac:dyDescent="0.35">
      <c r="A7" s="20"/>
      <c r="B7" t="s">
        <v>83</v>
      </c>
      <c r="C7" s="19" t="s">
        <v>84</v>
      </c>
      <c r="D7" s="19" t="s">
        <v>85</v>
      </c>
      <c r="E7" s="19" t="s">
        <v>85</v>
      </c>
      <c r="F7" s="19" t="s">
        <v>85</v>
      </c>
      <c r="G7" s="19" t="s">
        <v>91</v>
      </c>
      <c r="H7" s="19" t="s">
        <v>86</v>
      </c>
      <c r="I7" s="19" t="s">
        <v>86</v>
      </c>
      <c r="J7" s="19" t="s">
        <v>88</v>
      </c>
    </row>
    <row r="8" spans="1:10" ht="43.5" x14ac:dyDescent="0.35">
      <c r="A8" s="24">
        <v>1</v>
      </c>
      <c r="B8" s="25" t="s">
        <v>63</v>
      </c>
      <c r="C8" s="26">
        <v>0.8</v>
      </c>
      <c r="D8" s="26">
        <v>0.8</v>
      </c>
      <c r="E8" s="26">
        <v>0.8</v>
      </c>
      <c r="F8" s="26">
        <v>0.8</v>
      </c>
      <c r="G8" s="26" t="s">
        <v>92</v>
      </c>
      <c r="H8" s="27">
        <v>0.8</v>
      </c>
      <c r="I8" s="27">
        <v>0.9</v>
      </c>
      <c r="J8" s="2" t="s">
        <v>88</v>
      </c>
    </row>
    <row r="9" spans="1:10" ht="29" x14ac:dyDescent="0.35">
      <c r="A9" s="24">
        <v>2</v>
      </c>
      <c r="B9" s="28" t="s">
        <v>64</v>
      </c>
      <c r="C9" s="26">
        <v>0.9</v>
      </c>
      <c r="D9" s="26">
        <v>0.9</v>
      </c>
      <c r="E9" s="26">
        <v>0.9</v>
      </c>
      <c r="F9" s="26">
        <v>0.9</v>
      </c>
      <c r="G9" s="26">
        <v>1</v>
      </c>
      <c r="H9" s="27">
        <v>0.9</v>
      </c>
      <c r="I9" s="27">
        <v>0.9</v>
      </c>
      <c r="J9" s="2" t="s">
        <v>88</v>
      </c>
    </row>
    <row r="10" spans="1:10" x14ac:dyDescent="0.35">
      <c r="A10" s="24">
        <v>3</v>
      </c>
      <c r="B10" s="28" t="s">
        <v>65</v>
      </c>
      <c r="C10" s="26">
        <v>0.88</v>
      </c>
      <c r="D10" s="26">
        <v>0.88</v>
      </c>
      <c r="E10" s="26">
        <v>0.91</v>
      </c>
      <c r="F10" s="26">
        <v>0.92</v>
      </c>
      <c r="G10" s="26" t="s">
        <v>93</v>
      </c>
      <c r="H10" s="27">
        <v>0.94</v>
      </c>
      <c r="I10" s="14">
        <v>0.95</v>
      </c>
      <c r="J10" s="2" t="s">
        <v>88</v>
      </c>
    </row>
    <row r="11" spans="1:10" x14ac:dyDescent="0.35">
      <c r="A11" s="24">
        <v>4</v>
      </c>
      <c r="B11" s="28" t="s">
        <v>66</v>
      </c>
      <c r="C11" s="29" t="s">
        <v>87</v>
      </c>
      <c r="D11" s="29" t="s">
        <v>87</v>
      </c>
      <c r="E11" s="29" t="s">
        <v>87</v>
      </c>
      <c r="F11" s="29" t="s">
        <v>87</v>
      </c>
      <c r="G11" s="26" t="s">
        <v>94</v>
      </c>
      <c r="H11" s="27">
        <v>0.03</v>
      </c>
      <c r="I11" s="27">
        <v>0.03</v>
      </c>
      <c r="J11" s="2" t="s">
        <v>88</v>
      </c>
    </row>
    <row r="12" spans="1:10" ht="29.25" customHeight="1" x14ac:dyDescent="0.35">
      <c r="A12" s="24">
        <v>5</v>
      </c>
      <c r="B12" s="28" t="s">
        <v>67</v>
      </c>
      <c r="C12" s="26">
        <v>0.65</v>
      </c>
      <c r="D12" s="26">
        <v>0.65</v>
      </c>
      <c r="E12" s="26">
        <v>0.65</v>
      </c>
      <c r="F12" s="26">
        <v>0.7</v>
      </c>
      <c r="G12" s="26">
        <v>0.84</v>
      </c>
      <c r="H12" s="27">
        <v>0.8</v>
      </c>
      <c r="I12" s="27">
        <v>0.9</v>
      </c>
      <c r="J12" s="2" t="s">
        <v>88</v>
      </c>
    </row>
    <row r="13" spans="1:10" ht="29" x14ac:dyDescent="0.35">
      <c r="A13" s="24">
        <v>6</v>
      </c>
      <c r="B13" s="28" t="s">
        <v>26</v>
      </c>
      <c r="C13" s="26">
        <v>0.92</v>
      </c>
      <c r="D13" s="26">
        <v>0.92</v>
      </c>
      <c r="E13" s="26">
        <v>0.92</v>
      </c>
      <c r="F13" s="26">
        <v>0.93</v>
      </c>
      <c r="G13" s="26">
        <v>0.9</v>
      </c>
      <c r="H13" s="27">
        <v>0.95</v>
      </c>
      <c r="I13" s="27">
        <v>0.96</v>
      </c>
      <c r="J13" s="2" t="s">
        <v>88</v>
      </c>
    </row>
    <row r="15" spans="1:10" ht="15.5" x14ac:dyDescent="0.35">
      <c r="H15" s="5"/>
      <c r="I15" s="6" t="s">
        <v>89</v>
      </c>
      <c r="J15" s="6"/>
    </row>
    <row r="16" spans="1:10" ht="15.5" x14ac:dyDescent="0.35">
      <c r="H16" s="5"/>
      <c r="I16" s="5"/>
      <c r="J16" s="5"/>
    </row>
    <row r="17" spans="8:10" ht="15.5" x14ac:dyDescent="0.35">
      <c r="H17" s="5"/>
      <c r="I17" s="6" t="s">
        <v>68</v>
      </c>
      <c r="J17" s="6"/>
    </row>
    <row r="18" spans="8:10" ht="15.5" x14ac:dyDescent="0.35">
      <c r="H18" s="5"/>
      <c r="I18" s="6" t="s">
        <v>69</v>
      </c>
      <c r="J18" s="6"/>
    </row>
    <row r="19" spans="8:10" ht="15.5" x14ac:dyDescent="0.35">
      <c r="H19" s="5"/>
      <c r="I19" s="6" t="s">
        <v>70</v>
      </c>
      <c r="J19" s="6"/>
    </row>
    <row r="20" spans="8:10" ht="15.5" x14ac:dyDescent="0.35">
      <c r="H20" s="5"/>
      <c r="I20" s="6" t="s">
        <v>71</v>
      </c>
      <c r="J20" s="6"/>
    </row>
    <row r="21" spans="8:10" ht="15.5" x14ac:dyDescent="0.35">
      <c r="H21" s="5"/>
      <c r="I21" s="5"/>
      <c r="J21" s="5"/>
    </row>
    <row r="22" spans="8:10" ht="15.5" x14ac:dyDescent="0.35">
      <c r="H22" s="5"/>
      <c r="I22" s="5"/>
      <c r="J22" s="5"/>
    </row>
    <row r="23" spans="8:10" ht="15.5" x14ac:dyDescent="0.35">
      <c r="H23" s="5"/>
      <c r="I23" s="5"/>
      <c r="J23" s="5"/>
    </row>
    <row r="24" spans="8:10" ht="15.5" x14ac:dyDescent="0.35">
      <c r="H24" s="5"/>
      <c r="I24" s="18" t="s">
        <v>72</v>
      </c>
      <c r="J24" s="18"/>
    </row>
    <row r="25" spans="8:10" ht="15.5" x14ac:dyDescent="0.35">
      <c r="H25" s="5"/>
      <c r="I25" s="6" t="s">
        <v>73</v>
      </c>
      <c r="J25" s="6"/>
    </row>
    <row r="26" spans="8:10" ht="15.5" x14ac:dyDescent="0.35">
      <c r="H26" s="5"/>
      <c r="I26" s="6" t="s">
        <v>74</v>
      </c>
      <c r="J26" s="6"/>
    </row>
  </sheetData>
  <mergeCells count="7">
    <mergeCell ref="A1:J1"/>
    <mergeCell ref="A3:A4"/>
    <mergeCell ref="B3:B4"/>
    <mergeCell ref="C3:C4"/>
    <mergeCell ref="J3:J4"/>
    <mergeCell ref="D3:G3"/>
    <mergeCell ref="H3:I3"/>
  </mergeCells>
  <printOptions horizontalCentered="1"/>
  <pageMargins left="0.7" right="0.7" top="1" bottom="0.5" header="0.3" footer="0.3"/>
  <pageSetup paperSize="258"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SETDA</vt:lpstr>
      <vt:lpstr>INDIKATOR KINERJA</vt:lpstr>
      <vt:lpstr>SETDA!Print_Area</vt:lpstr>
      <vt:lpstr>SETDA!Print_Titles</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dell</cp:lastModifiedBy>
  <cp:lastPrinted>2025-01-16T03:54:21Z</cp:lastPrinted>
  <dcterms:created xsi:type="dcterms:W3CDTF">2019-08-12T00:56:47Z</dcterms:created>
  <dcterms:modified xsi:type="dcterms:W3CDTF">2025-01-16T03:59:55Z</dcterms:modified>
</cp:coreProperties>
</file>